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7935" activeTab="1"/>
  </bookViews>
  <sheets>
    <sheet name="Fuel consumption" sheetId="1" r:id="rId1"/>
    <sheet name="Mileage summary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<sst xmlns="http://schemas.openxmlformats.org/spreadsheetml/2006/main" count="505" uniqueCount="182">
  <si>
    <t>Litres</t>
  </si>
  <si>
    <t>Miles</t>
  </si>
  <si>
    <t>Gallons</t>
  </si>
  <si>
    <t>mpg</t>
  </si>
  <si>
    <t>gallon</t>
  </si>
  <si>
    <t>litres</t>
  </si>
  <si>
    <t>Main tank</t>
  </si>
  <si>
    <t>2nd Tank</t>
  </si>
  <si>
    <t>Max</t>
  </si>
  <si>
    <t>Min</t>
  </si>
  <si>
    <t>27mpg</t>
  </si>
  <si>
    <t>5mpg</t>
  </si>
  <si>
    <t>Milometer</t>
  </si>
  <si>
    <t>Place</t>
  </si>
  <si>
    <t>Windhoek</t>
  </si>
  <si>
    <t>No Litres</t>
  </si>
  <si>
    <t>Local Currency</t>
  </si>
  <si>
    <t>Nam dollars</t>
  </si>
  <si>
    <t>Currency</t>
  </si>
  <si>
    <t>GBP</t>
  </si>
  <si>
    <t>trip miles</t>
  </si>
  <si>
    <t>No Gallons</t>
  </si>
  <si>
    <t>Tsumeb</t>
  </si>
  <si>
    <t>Halali</t>
  </si>
  <si>
    <t>Khorixas</t>
  </si>
  <si>
    <t>Henties Bay</t>
  </si>
  <si>
    <t>per litre</t>
  </si>
  <si>
    <t>Samples at home</t>
  </si>
  <si>
    <t>Theoretical capacity</t>
  </si>
  <si>
    <t>Total</t>
  </si>
  <si>
    <t>Theoretical range</t>
  </si>
  <si>
    <t>Actual experience</t>
  </si>
  <si>
    <t>conditions</t>
  </si>
  <si>
    <t>high speed tarred road from Walvis Bay</t>
  </si>
  <si>
    <t>Low speed Ethosha</t>
  </si>
  <si>
    <t>Higher speed travel</t>
  </si>
  <si>
    <t>Solitaire</t>
  </si>
  <si>
    <t>Sesriem</t>
  </si>
  <si>
    <t>Aus</t>
  </si>
  <si>
    <t>Karasberg</t>
  </si>
  <si>
    <t>Namibia Total</t>
  </si>
  <si>
    <t>RSA Rand</t>
  </si>
  <si>
    <t>Twee Riveren</t>
  </si>
  <si>
    <t>Pofadder</t>
  </si>
  <si>
    <t>South Africa Total</t>
  </si>
  <si>
    <t>TRIP TOTAL</t>
  </si>
  <si>
    <t>Lamberts Bay</t>
  </si>
  <si>
    <t>Franschoek</t>
  </si>
  <si>
    <t>Beaufort West</t>
  </si>
  <si>
    <t>Kimberley</t>
  </si>
  <si>
    <t>Given up on excuses for Land Rover!</t>
  </si>
  <si>
    <t>say</t>
  </si>
  <si>
    <t>3 jerries</t>
  </si>
  <si>
    <t>miles range @ average consumption</t>
  </si>
  <si>
    <t>=&gt;</t>
  </si>
  <si>
    <t>miles range @ 20mpg consumption</t>
  </si>
  <si>
    <t>Botswana Total</t>
  </si>
  <si>
    <t>Labatse</t>
  </si>
  <si>
    <t>Pula</t>
  </si>
  <si>
    <t>Francistown</t>
  </si>
  <si>
    <t>Nata</t>
  </si>
  <si>
    <t>Maun</t>
  </si>
  <si>
    <t>Incl new Jerry</t>
  </si>
  <si>
    <t>Kasane</t>
  </si>
  <si>
    <t>Savuti sand etc</t>
  </si>
  <si>
    <t>extra usage</t>
  </si>
  <si>
    <t>compared to average</t>
  </si>
  <si>
    <t>Zambia Total</t>
  </si>
  <si>
    <t>Lusaka</t>
  </si>
  <si>
    <t>Qwetcha</t>
  </si>
  <si>
    <t>Chipata</t>
  </si>
  <si>
    <t>Malawi Total</t>
  </si>
  <si>
    <t>Lilongwe</t>
  </si>
  <si>
    <t>Mangochi</t>
  </si>
  <si>
    <t>Mozambique Total</t>
  </si>
  <si>
    <t>Nampula</t>
  </si>
  <si>
    <t>Limbe</t>
  </si>
  <si>
    <t>Rumphi</t>
  </si>
  <si>
    <t>Tanzania Total</t>
  </si>
  <si>
    <t>Mbeya</t>
  </si>
  <si>
    <t>Shillings</t>
  </si>
  <si>
    <t>Iringa</t>
  </si>
  <si>
    <t>Dar</t>
  </si>
  <si>
    <t>Moshi</t>
  </si>
  <si>
    <t>Karatu</t>
  </si>
  <si>
    <t>Mwanza</t>
  </si>
  <si>
    <t>Uganda Total</t>
  </si>
  <si>
    <t>Bukoba</t>
  </si>
  <si>
    <t>Kabale</t>
  </si>
  <si>
    <t>Fort Portal</t>
  </si>
  <si>
    <t>Kenya Total</t>
  </si>
  <si>
    <t>Kampala</t>
  </si>
  <si>
    <t>50l from Jerries</t>
  </si>
  <si>
    <t>Country</t>
  </si>
  <si>
    <t>Start</t>
  </si>
  <si>
    <t>End</t>
  </si>
  <si>
    <t>Mileage</t>
  </si>
  <si>
    <t>Namibia</t>
  </si>
  <si>
    <t>South Africa</t>
  </si>
  <si>
    <t>Botswana</t>
  </si>
  <si>
    <t>Zambia</t>
  </si>
  <si>
    <t>Mozambique</t>
  </si>
  <si>
    <t>Malawi</t>
  </si>
  <si>
    <t>Tanzania</t>
  </si>
  <si>
    <t>Uganda</t>
  </si>
  <si>
    <t>Arrived</t>
  </si>
  <si>
    <t>Left</t>
  </si>
  <si>
    <t>Days</t>
  </si>
  <si>
    <t>Miles per day</t>
  </si>
  <si>
    <t>Kenya</t>
  </si>
  <si>
    <t>months</t>
  </si>
  <si>
    <t>Trans Africa Expedition - Mileage Summary</t>
  </si>
  <si>
    <t>Narok</t>
  </si>
  <si>
    <t>Njoro</t>
  </si>
  <si>
    <t>incl 40l into jerries</t>
  </si>
  <si>
    <t>Timau</t>
  </si>
  <si>
    <t>refill Jerry with 10l</t>
  </si>
  <si>
    <t>Marsabit</t>
  </si>
  <si>
    <t>Birr</t>
  </si>
  <si>
    <t>Ethiopia Total</t>
  </si>
  <si>
    <t>Moyale</t>
  </si>
  <si>
    <t>Sodo</t>
  </si>
  <si>
    <t>Ethiopia</t>
  </si>
  <si>
    <t>Addis</t>
  </si>
  <si>
    <t>Bahir Dar</t>
  </si>
  <si>
    <t>Sudan</t>
  </si>
  <si>
    <t>Gonder</t>
  </si>
  <si>
    <t>Sudan Total</t>
  </si>
  <si>
    <t>Gedaref</t>
  </si>
  <si>
    <t>Dinar</t>
  </si>
  <si>
    <t>Khartoum</t>
  </si>
  <si>
    <t>Ad Damir</t>
  </si>
  <si>
    <t>Karima</t>
  </si>
  <si>
    <t>Egypt Total</t>
  </si>
  <si>
    <t>Aswan</t>
  </si>
  <si>
    <t>Pound</t>
  </si>
  <si>
    <t>Egypt</t>
  </si>
  <si>
    <t>Safaga</t>
  </si>
  <si>
    <t>Luxor</t>
  </si>
  <si>
    <t>Mut</t>
  </si>
  <si>
    <t>Bawiti</t>
  </si>
  <si>
    <t>Cairo</t>
  </si>
  <si>
    <t>Dahab</t>
  </si>
  <si>
    <t>Suez</t>
  </si>
  <si>
    <t>No of photos</t>
  </si>
  <si>
    <t>Ismailiya</t>
  </si>
  <si>
    <t>Matrouh</t>
  </si>
  <si>
    <t>Siwa</t>
  </si>
  <si>
    <t>Sidi Bayini</t>
  </si>
  <si>
    <t>Libya Total</t>
  </si>
  <si>
    <t>Libya</t>
  </si>
  <si>
    <t>miles</t>
  </si>
  <si>
    <t>km</t>
  </si>
  <si>
    <t>Qaminis</t>
  </si>
  <si>
    <t>Misurata</t>
  </si>
  <si>
    <t>Tunisia</t>
  </si>
  <si>
    <t>Italy</t>
  </si>
  <si>
    <t>France</t>
  </si>
  <si>
    <t>Spain</t>
  </si>
  <si>
    <t>Tunisia Total</t>
  </si>
  <si>
    <t>Europe Total</t>
  </si>
  <si>
    <t>Mareth</t>
  </si>
  <si>
    <t>Gabes</t>
  </si>
  <si>
    <t>Dougga</t>
  </si>
  <si>
    <t>St Tropez</t>
  </si>
  <si>
    <t>Euro</t>
  </si>
  <si>
    <t>Barcelona</t>
  </si>
  <si>
    <t>Morocco</t>
  </si>
  <si>
    <t>Morocco Total</t>
  </si>
  <si>
    <t>Almeria</t>
  </si>
  <si>
    <t>Ceuta</t>
  </si>
  <si>
    <t>Khenifra</t>
  </si>
  <si>
    <t>Dirhams</t>
  </si>
  <si>
    <t>Goulmina</t>
  </si>
  <si>
    <t>20l from jerry</t>
  </si>
  <si>
    <t>Tinerhir</t>
  </si>
  <si>
    <t>UK</t>
  </si>
  <si>
    <t>Beni Mellal</t>
  </si>
  <si>
    <t>Chefchouan</t>
  </si>
  <si>
    <t>Avila</t>
  </si>
  <si>
    <t>St Sebastian</t>
  </si>
  <si>
    <t>St Jouan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</si>
</sst>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.0_-;\-* #,##0.0_-;_-* &quot;-&quot;?_-;_-@_-"/>
    <numFmt numFmtId="166" formatCode="_-* #,##0_-;\-* #,##0_-;_-* &quot;-&quot;??_-;_-@_-"/>
    <numFmt numFmtId="167" formatCode="_-* #,##0.0000_-;\-* #,##0.0000_-;_-* &quot;-&quot;????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&quot;£&quot;#,##0.00"/>
    <numFmt numFmtId="173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4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64" fontId="0" fillId="0" borderId="0" xfId="15" applyNumberFormat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horizontal="right"/>
    </xf>
    <xf numFmtId="164" fontId="0" fillId="0" borderId="0" xfId="15" applyNumberFormat="1" applyAlignment="1">
      <alignment horizontal="right"/>
    </xf>
    <xf numFmtId="164" fontId="0" fillId="0" borderId="0" xfId="15" applyNumberFormat="1" applyFont="1" applyAlignment="1">
      <alignment/>
    </xf>
    <xf numFmtId="166" fontId="0" fillId="0" borderId="0" xfId="15" applyNumberFormat="1" applyAlignment="1">
      <alignment/>
    </xf>
    <xf numFmtId="44" fontId="0" fillId="0" borderId="0" xfId="17" applyAlignment="1">
      <alignment/>
    </xf>
    <xf numFmtId="44" fontId="0" fillId="0" borderId="0" xfId="17" applyFont="1" applyAlignment="1">
      <alignment/>
    </xf>
    <xf numFmtId="0" fontId="2" fillId="0" borderId="0" xfId="0" applyFont="1" applyAlignment="1">
      <alignment/>
    </xf>
    <xf numFmtId="164" fontId="2" fillId="0" borderId="0" xfId="15" applyNumberFormat="1" applyFont="1" applyAlignment="1">
      <alignment/>
    </xf>
    <xf numFmtId="44" fontId="2" fillId="0" borderId="0" xfId="17" applyFont="1" applyAlignment="1">
      <alignment/>
    </xf>
    <xf numFmtId="166" fontId="2" fillId="0" borderId="0" xfId="15" applyNumberFormat="1" applyFont="1" applyAlignment="1">
      <alignment/>
    </xf>
    <xf numFmtId="0" fontId="0" fillId="0" borderId="0" xfId="0" applyAlignment="1" quotePrefix="1">
      <alignment/>
    </xf>
    <xf numFmtId="9" fontId="0" fillId="0" borderId="0" xfId="21" applyAlignment="1">
      <alignment/>
    </xf>
    <xf numFmtId="0" fontId="0" fillId="0" borderId="0" xfId="0" applyFont="1" applyAlignment="1">
      <alignment/>
    </xf>
    <xf numFmtId="166" fontId="0" fillId="0" borderId="0" xfId="15" applyNumberFormat="1" applyFont="1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0" fontId="5" fillId="0" borderId="0" xfId="0" applyFont="1" applyAlignment="1">
      <alignment/>
    </xf>
    <xf numFmtId="0" fontId="0" fillId="0" borderId="2" xfId="0" applyBorder="1" applyAlignment="1">
      <alignment wrapText="1"/>
    </xf>
    <xf numFmtId="166" fontId="0" fillId="0" borderId="2" xfId="15" applyNumberFormat="1" applyBorder="1" applyAlignment="1">
      <alignment wrapText="1"/>
    </xf>
    <xf numFmtId="166" fontId="0" fillId="0" borderId="2" xfId="15" applyNumberFormat="1" applyFont="1" applyBorder="1" applyAlignment="1">
      <alignment wrapText="1"/>
    </xf>
    <xf numFmtId="0" fontId="0" fillId="0" borderId="0" xfId="0" applyAlignment="1">
      <alignment wrapText="1"/>
    </xf>
    <xf numFmtId="166" fontId="0" fillId="0" borderId="0" xfId="15" applyNumberFormat="1" applyAlignment="1">
      <alignment horizontal="right"/>
    </xf>
    <xf numFmtId="166" fontId="0" fillId="0" borderId="2" xfId="15" applyNumberFormat="1" applyFont="1" applyBorder="1" applyAlignment="1">
      <alignment horizontal="right"/>
    </xf>
    <xf numFmtId="166" fontId="0" fillId="0" borderId="0" xfId="15" applyNumberFormat="1" applyFont="1" applyAlignment="1">
      <alignment horizontal="right"/>
    </xf>
    <xf numFmtId="3" fontId="0" fillId="0" borderId="0" xfId="15" applyNumberFormat="1" applyAlignment="1">
      <alignment/>
    </xf>
    <xf numFmtId="3" fontId="0" fillId="0" borderId="2" xfId="15" applyNumberFormat="1" applyBorder="1" applyAlignment="1">
      <alignment/>
    </xf>
    <xf numFmtId="3" fontId="0" fillId="0" borderId="1" xfId="15" applyNumberFormat="1" applyBorder="1" applyAlignment="1">
      <alignment/>
    </xf>
    <xf numFmtId="3" fontId="0" fillId="0" borderId="1" xfId="15" applyNumberFormat="1" applyBorder="1" applyAlignment="1">
      <alignment/>
    </xf>
    <xf numFmtId="3" fontId="0" fillId="0" borderId="1" xfId="15" applyNumberFormat="1" applyBorder="1" applyAlignment="1">
      <alignment horizontal="right"/>
    </xf>
    <xf numFmtId="3" fontId="0" fillId="0" borderId="0" xfId="15" applyNumberFormat="1" applyAlignment="1">
      <alignment horizontal="right"/>
    </xf>
    <xf numFmtId="3" fontId="0" fillId="0" borderId="3" xfId="15" applyNumberFormat="1" applyBorder="1" applyAlignment="1">
      <alignment horizontal="right"/>
    </xf>
    <xf numFmtId="166" fontId="0" fillId="0" borderId="3" xfId="15" applyNumberFormat="1" applyBorder="1" applyAlignment="1">
      <alignment/>
    </xf>
    <xf numFmtId="173" fontId="0" fillId="0" borderId="0" xfId="15" applyNumberForma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7"/>
  <sheetViews>
    <sheetView workbookViewId="0" topLeftCell="A271">
      <selection activeCell="B290" sqref="B290"/>
    </sheetView>
  </sheetViews>
  <sheetFormatPr defaultColWidth="9.140625" defaultRowHeight="12.75"/>
  <cols>
    <col min="2" max="2" width="12.57421875" style="0" bestFit="1" customWidth="1"/>
    <col min="3" max="3" width="9.140625" style="1" customWidth="1"/>
    <col min="4" max="4" width="13.57421875" style="0" bestFit="1" customWidth="1"/>
    <col min="5" max="5" width="13.57421875" style="6" bestFit="1" customWidth="1"/>
    <col min="6" max="6" width="10.8515625" style="0" bestFit="1" customWidth="1"/>
    <col min="7" max="7" width="10.28125" style="0" bestFit="1" customWidth="1"/>
    <col min="8" max="8" width="7.140625" style="0" bestFit="1" customWidth="1"/>
    <col min="9" max="9" width="10.28125" style="6" bestFit="1" customWidth="1"/>
    <col min="10" max="10" width="5.7109375" style="0" bestFit="1" customWidth="1"/>
    <col min="11" max="11" width="34.28125" style="0" bestFit="1" customWidth="1"/>
  </cols>
  <sheetData>
    <row r="1" ht="12.75">
      <c r="A1" s="9" t="s">
        <v>27</v>
      </c>
    </row>
    <row r="2" spans="1:4" ht="12.75">
      <c r="A2" s="3" t="s">
        <v>0</v>
      </c>
      <c r="B2" s="3" t="s">
        <v>1</v>
      </c>
      <c r="C2" s="4" t="s">
        <v>2</v>
      </c>
      <c r="D2" s="3" t="s">
        <v>3</v>
      </c>
    </row>
    <row r="3" spans="1:4" ht="12.75">
      <c r="A3">
        <v>55</v>
      </c>
      <c r="B3">
        <v>290</v>
      </c>
      <c r="C3" s="1">
        <f>A3/3.7854</f>
        <v>14.529508110107253</v>
      </c>
      <c r="D3" s="2">
        <f>B3/C3</f>
        <v>19.95938181818182</v>
      </c>
    </row>
    <row r="4" spans="1:4" ht="12.75">
      <c r="A4">
        <v>62</v>
      </c>
      <c r="B4">
        <v>318</v>
      </c>
      <c r="C4" s="1">
        <f>A4/3.7854</f>
        <v>16.378718233211814</v>
      </c>
      <c r="D4" s="2">
        <f>B4/C4</f>
        <v>19.41543870967742</v>
      </c>
    </row>
    <row r="6" spans="1:4" ht="12.75">
      <c r="A6">
        <v>1</v>
      </c>
      <c r="B6" t="s">
        <v>4</v>
      </c>
      <c r="C6" s="1">
        <v>3.785412</v>
      </c>
      <c r="D6" t="s">
        <v>5</v>
      </c>
    </row>
    <row r="8" ht="12.75">
      <c r="A8" s="9" t="s">
        <v>28</v>
      </c>
    </row>
    <row r="9" spans="2:3" ht="12.75">
      <c r="B9" t="s">
        <v>2</v>
      </c>
      <c r="C9" s="5" t="s">
        <v>0</v>
      </c>
    </row>
    <row r="10" spans="1:3" ht="12.75">
      <c r="A10" t="s">
        <v>6</v>
      </c>
      <c r="B10" s="1">
        <f>C10/C6</f>
        <v>21.00167696409268</v>
      </c>
      <c r="C10" s="1">
        <v>79.5</v>
      </c>
    </row>
    <row r="11" spans="1:3" ht="12.75">
      <c r="A11" t="s">
        <v>7</v>
      </c>
      <c r="B11" s="1">
        <v>8</v>
      </c>
      <c r="C11" s="1">
        <f>B11*C6</f>
        <v>30.283296</v>
      </c>
    </row>
    <row r="12" ht="12.75">
      <c r="B12" s="1"/>
    </row>
    <row r="13" spans="1:12" ht="12.75">
      <c r="A13" t="s">
        <v>29</v>
      </c>
      <c r="B13" s="1">
        <f>SUM(B10:B12)</f>
        <v>29.00167696409268</v>
      </c>
      <c r="C13" s="1">
        <f>SUM(C10:C12)</f>
        <v>109.783296</v>
      </c>
      <c r="D13" t="s">
        <v>51</v>
      </c>
      <c r="E13" s="6">
        <v>100</v>
      </c>
      <c r="F13" t="s">
        <v>52</v>
      </c>
      <c r="G13">
        <v>60</v>
      </c>
      <c r="H13" t="s">
        <v>29</v>
      </c>
      <c r="I13" s="6">
        <f>E13+G13</f>
        <v>160</v>
      </c>
      <c r="J13" s="13" t="s">
        <v>54</v>
      </c>
      <c r="K13" s="6">
        <f>I13/C6*J306</f>
        <v>917.6018301731616</v>
      </c>
      <c r="L13" t="s">
        <v>53</v>
      </c>
    </row>
    <row r="14" spans="11:12" ht="12.75">
      <c r="K14" s="6">
        <f>I13/C6*20</f>
        <v>845.3505193093908</v>
      </c>
      <c r="L14" t="s">
        <v>55</v>
      </c>
    </row>
    <row r="15" ht="12.75">
      <c r="A15" s="9" t="s">
        <v>30</v>
      </c>
    </row>
    <row r="16" spans="1:4" ht="12.75">
      <c r="A16" t="s">
        <v>8</v>
      </c>
      <c r="B16" s="6">
        <f>B13*27</f>
        <v>783.0452780305023</v>
      </c>
      <c r="D16" t="s">
        <v>10</v>
      </c>
    </row>
    <row r="17" spans="1:4" ht="12.75">
      <c r="A17" t="s">
        <v>9</v>
      </c>
      <c r="B17" s="6">
        <f>B13*5</f>
        <v>145.0083848204634</v>
      </c>
      <c r="D17" t="s">
        <v>11</v>
      </c>
    </row>
    <row r="20" ht="12.75">
      <c r="A20" s="9" t="s">
        <v>31</v>
      </c>
    </row>
    <row r="21" spans="1:11" ht="12.75">
      <c r="A21" t="s">
        <v>12</v>
      </c>
      <c r="B21" t="s">
        <v>13</v>
      </c>
      <c r="C21" s="5" t="s">
        <v>15</v>
      </c>
      <c r="D21" t="s">
        <v>21</v>
      </c>
      <c r="E21" s="6" t="s">
        <v>16</v>
      </c>
      <c r="F21" t="s">
        <v>18</v>
      </c>
      <c r="G21" s="3" t="s">
        <v>19</v>
      </c>
      <c r="H21" t="s">
        <v>26</v>
      </c>
      <c r="I21" s="6" t="s">
        <v>20</v>
      </c>
      <c r="J21" t="s">
        <v>3</v>
      </c>
      <c r="K21" t="s">
        <v>32</v>
      </c>
    </row>
    <row r="22" spans="1:12" ht="12.75">
      <c r="A22">
        <v>51920</v>
      </c>
      <c r="B22" t="s">
        <v>14</v>
      </c>
      <c r="C22" s="5">
        <f>119-40</f>
        <v>79</v>
      </c>
      <c r="D22" s="1">
        <f aca="true" t="shared" si="0" ref="D22:D30">C22/3.7854</f>
        <v>20.8696571036086</v>
      </c>
      <c r="E22" s="6">
        <v>515</v>
      </c>
      <c r="F22" t="s">
        <v>17</v>
      </c>
      <c r="G22" s="7">
        <f aca="true" t="shared" si="1" ref="G22:G30">E22/11.59</f>
        <v>44.43485763589301</v>
      </c>
      <c r="H22" s="7">
        <f aca="true" t="shared" si="2" ref="H22:H30">G22/C22</f>
        <v>0.5624665523530761</v>
      </c>
      <c r="I22" s="6">
        <v>462</v>
      </c>
      <c r="J22" s="1">
        <f aca="true" t="shared" si="3" ref="J22:J30">I22/D22</f>
        <v>22.137402531645574</v>
      </c>
      <c r="K22" t="s">
        <v>33</v>
      </c>
      <c r="L22" s="14">
        <f aca="true" t="shared" si="4" ref="L22:L30">($J$306-J22)/$J$306</f>
        <v>-0.019715965625095692</v>
      </c>
    </row>
    <row r="23" spans="1:12" ht="12.75">
      <c r="A23">
        <v>52288</v>
      </c>
      <c r="B23" t="s">
        <v>22</v>
      </c>
      <c r="C23" s="1">
        <v>70.7</v>
      </c>
      <c r="D23" s="1">
        <f t="shared" si="0"/>
        <v>18.677022243356053</v>
      </c>
      <c r="E23" s="6">
        <v>310</v>
      </c>
      <c r="F23" t="s">
        <v>17</v>
      </c>
      <c r="G23" s="7">
        <f t="shared" si="1"/>
        <v>26.747195858498706</v>
      </c>
      <c r="H23" s="7">
        <f t="shared" si="2"/>
        <v>0.3783196019589633</v>
      </c>
      <c r="I23" s="6">
        <v>368</v>
      </c>
      <c r="J23" s="1">
        <f t="shared" si="3"/>
        <v>19.703355021216407</v>
      </c>
      <c r="K23" t="s">
        <v>35</v>
      </c>
      <c r="L23" s="14">
        <f t="shared" si="4"/>
        <v>0.09240365201868833</v>
      </c>
    </row>
    <row r="24" spans="1:12" ht="12.75">
      <c r="A24">
        <v>52880</v>
      </c>
      <c r="B24" t="s">
        <v>23</v>
      </c>
      <c r="C24" s="1">
        <v>90</v>
      </c>
      <c r="D24" s="1">
        <f t="shared" si="0"/>
        <v>23.775558725630052</v>
      </c>
      <c r="E24" s="6">
        <v>410</v>
      </c>
      <c r="F24" t="s">
        <v>17</v>
      </c>
      <c r="G24" s="7">
        <f t="shared" si="1"/>
        <v>35.37532355478861</v>
      </c>
      <c r="H24" s="7">
        <f t="shared" si="2"/>
        <v>0.3930591506087623</v>
      </c>
      <c r="I24" s="6">
        <v>592</v>
      </c>
      <c r="J24" s="1">
        <f t="shared" si="3"/>
        <v>24.89952</v>
      </c>
      <c r="K24" t="s">
        <v>34</v>
      </c>
      <c r="L24" s="14">
        <f t="shared" si="4"/>
        <v>-0.14694748149000636</v>
      </c>
    </row>
    <row r="25" spans="1:12" ht="12.75">
      <c r="A25">
        <v>53348</v>
      </c>
      <c r="B25" t="s">
        <v>24</v>
      </c>
      <c r="C25" s="1">
        <v>64</v>
      </c>
      <c r="D25" s="1">
        <f t="shared" si="0"/>
        <v>16.90706398267026</v>
      </c>
      <c r="E25" s="6">
        <v>275</v>
      </c>
      <c r="F25" t="s">
        <v>17</v>
      </c>
      <c r="G25" s="7">
        <f t="shared" si="1"/>
        <v>23.727351164797238</v>
      </c>
      <c r="H25" s="7">
        <f t="shared" si="2"/>
        <v>0.37073986194995684</v>
      </c>
      <c r="I25" s="6">
        <v>468</v>
      </c>
      <c r="J25" s="1">
        <f t="shared" si="3"/>
        <v>27.6807375</v>
      </c>
      <c r="K25" t="s">
        <v>34</v>
      </c>
      <c r="L25" s="14">
        <f t="shared" si="4"/>
        <v>-0.2750588027966393</v>
      </c>
    </row>
    <row r="26" spans="1:12" ht="12.75">
      <c r="A26">
        <v>53837</v>
      </c>
      <c r="B26" t="s">
        <v>25</v>
      </c>
      <c r="C26" s="1">
        <v>82</v>
      </c>
      <c r="D26" s="5">
        <f t="shared" si="0"/>
        <v>21.66217572779627</v>
      </c>
      <c r="E26" s="6">
        <v>349</v>
      </c>
      <c r="F26" t="s">
        <v>17</v>
      </c>
      <c r="G26" s="8">
        <f t="shared" si="1"/>
        <v>30.11216566005177</v>
      </c>
      <c r="H26" s="7">
        <f t="shared" si="2"/>
        <v>0.3672215324396557</v>
      </c>
      <c r="I26" s="6">
        <v>489</v>
      </c>
      <c r="J26" s="5">
        <f t="shared" si="3"/>
        <v>22.57390975609756</v>
      </c>
      <c r="K26" t="s">
        <v>35</v>
      </c>
      <c r="L26" s="14">
        <f t="shared" si="4"/>
        <v>-0.03982281353772208</v>
      </c>
    </row>
    <row r="27" spans="1:12" ht="12.75">
      <c r="A27">
        <v>54231</v>
      </c>
      <c r="B27" t="s">
        <v>36</v>
      </c>
      <c r="C27" s="1">
        <v>65</v>
      </c>
      <c r="D27" s="5">
        <f t="shared" si="0"/>
        <v>17.17123685739948</v>
      </c>
      <c r="E27" s="6">
        <v>283</v>
      </c>
      <c r="F27" t="s">
        <v>17</v>
      </c>
      <c r="G27" s="8">
        <f t="shared" si="1"/>
        <v>24.417601380500432</v>
      </c>
      <c r="H27" s="7">
        <f t="shared" si="2"/>
        <v>0.3756554058538528</v>
      </c>
      <c r="I27" s="6">
        <v>393</v>
      </c>
      <c r="J27" s="5">
        <f t="shared" si="3"/>
        <v>22.88711076923077</v>
      </c>
      <c r="K27" t="s">
        <v>35</v>
      </c>
      <c r="L27" s="14">
        <f t="shared" si="4"/>
        <v>-0.05424980302238897</v>
      </c>
    </row>
    <row r="28" spans="1:12" ht="12.75">
      <c r="A28">
        <v>54504</v>
      </c>
      <c r="B28" t="s">
        <v>37</v>
      </c>
      <c r="C28" s="1">
        <v>47</v>
      </c>
      <c r="D28" s="5">
        <f t="shared" si="0"/>
        <v>12.416125112273471</v>
      </c>
      <c r="E28" s="6">
        <v>220</v>
      </c>
      <c r="F28" t="s">
        <v>17</v>
      </c>
      <c r="G28" s="8">
        <f t="shared" si="1"/>
        <v>18.981880931837793</v>
      </c>
      <c r="H28" s="7">
        <f t="shared" si="2"/>
        <v>0.40386980706037856</v>
      </c>
      <c r="I28" s="6">
        <v>273</v>
      </c>
      <c r="J28" s="5">
        <f t="shared" si="3"/>
        <v>21.987536170212767</v>
      </c>
      <c r="K28" t="s">
        <v>35</v>
      </c>
      <c r="L28" s="14">
        <f t="shared" si="4"/>
        <v>-0.012812666051231275</v>
      </c>
    </row>
    <row r="29" spans="1:12" ht="12.75">
      <c r="A29">
        <v>54963</v>
      </c>
      <c r="B29" t="s">
        <v>38</v>
      </c>
      <c r="C29" s="1">
        <v>78</v>
      </c>
      <c r="D29" s="5">
        <f t="shared" si="0"/>
        <v>20.605484228879376</v>
      </c>
      <c r="E29" s="6">
        <v>350</v>
      </c>
      <c r="F29" t="s">
        <v>17</v>
      </c>
      <c r="G29" s="8">
        <f t="shared" si="1"/>
        <v>30.19844693701467</v>
      </c>
      <c r="H29" s="7">
        <f t="shared" si="2"/>
        <v>0.38715957611557267</v>
      </c>
      <c r="I29" s="6">
        <v>459</v>
      </c>
      <c r="J29" s="5">
        <f t="shared" si="3"/>
        <v>22.27562307692308</v>
      </c>
      <c r="K29" t="s">
        <v>35</v>
      </c>
      <c r="L29" s="14">
        <f t="shared" si="4"/>
        <v>-0.026082823552325222</v>
      </c>
    </row>
    <row r="30" spans="1:12" ht="12.75">
      <c r="A30">
        <v>55408</v>
      </c>
      <c r="B30" t="s">
        <v>39</v>
      </c>
      <c r="C30" s="1">
        <v>75</v>
      </c>
      <c r="D30" s="5">
        <f t="shared" si="0"/>
        <v>19.81296560469171</v>
      </c>
      <c r="E30" s="6">
        <v>370</v>
      </c>
      <c r="F30" t="s">
        <v>17</v>
      </c>
      <c r="G30" s="8">
        <f t="shared" si="1"/>
        <v>31.92407247627265</v>
      </c>
      <c r="H30" s="8">
        <f t="shared" si="2"/>
        <v>0.42565429968363533</v>
      </c>
      <c r="I30" s="6">
        <v>444</v>
      </c>
      <c r="J30" s="5">
        <f t="shared" si="3"/>
        <v>22.409568000000004</v>
      </c>
      <c r="K30" t="s">
        <v>35</v>
      </c>
      <c r="L30" s="14">
        <f t="shared" si="4"/>
        <v>-0.032252733341005944</v>
      </c>
    </row>
    <row r="32" spans="1:12" s="9" customFormat="1" ht="12.75">
      <c r="A32" s="9" t="s">
        <v>40</v>
      </c>
      <c r="C32" s="10">
        <f>SUM(C22:C31)</f>
        <v>650.7</v>
      </c>
      <c r="D32" s="10">
        <f>SUM(D22:D31)</f>
        <v>171.89728958630522</v>
      </c>
      <c r="E32" s="12">
        <f>SUM(E22:E31)</f>
        <v>3082</v>
      </c>
      <c r="G32" s="11">
        <f>E32/11.59</f>
        <v>265.9188955996549</v>
      </c>
      <c r="H32" s="11">
        <f>G32/C32</f>
        <v>0.4086658915009296</v>
      </c>
      <c r="I32" s="12">
        <f>SUM(I22:I31)</f>
        <v>3948</v>
      </c>
      <c r="J32" s="10">
        <f>I32/D32</f>
        <v>22.967203319502083</v>
      </c>
      <c r="L32" s="14">
        <f>($J$306-J32)/$J$306</f>
        <v>-0.05793910903390223</v>
      </c>
    </row>
    <row r="34" ht="12.75">
      <c r="A34" s="9" t="s">
        <v>31</v>
      </c>
    </row>
    <row r="35" spans="1:11" ht="12.75">
      <c r="A35" t="s">
        <v>12</v>
      </c>
      <c r="B35" t="s">
        <v>13</v>
      </c>
      <c r="C35" s="5" t="s">
        <v>15</v>
      </c>
      <c r="D35" t="s">
        <v>21</v>
      </c>
      <c r="E35" s="6" t="s">
        <v>16</v>
      </c>
      <c r="F35" t="s">
        <v>18</v>
      </c>
      <c r="G35" s="3" t="s">
        <v>19</v>
      </c>
      <c r="H35" t="s">
        <v>26</v>
      </c>
      <c r="I35" s="6" t="s">
        <v>20</v>
      </c>
      <c r="J35" t="s">
        <v>3</v>
      </c>
      <c r="K35" t="s">
        <v>32</v>
      </c>
    </row>
    <row r="36" spans="1:12" ht="12.75">
      <c r="A36">
        <v>55788</v>
      </c>
      <c r="B36" t="s">
        <v>42</v>
      </c>
      <c r="C36" s="1">
        <v>68.5</v>
      </c>
      <c r="D36" s="1">
        <f aca="true" t="shared" si="5" ref="D36:D42">C36/3.7854</f>
        <v>18.095841918951763</v>
      </c>
      <c r="E36" s="6">
        <v>400</v>
      </c>
      <c r="F36" t="s">
        <v>41</v>
      </c>
      <c r="G36" s="7">
        <f aca="true" t="shared" si="6" ref="G36:G42">E36/11.59</f>
        <v>34.51251078515962</v>
      </c>
      <c r="H36" s="7">
        <f aca="true" t="shared" si="7" ref="H36:H42">G36/C36</f>
        <v>0.5038322742359068</v>
      </c>
      <c r="I36" s="6">
        <v>380</v>
      </c>
      <c r="J36" s="1">
        <f aca="true" t="shared" si="8" ref="J36:J42">I36/D36</f>
        <v>20.999299270072992</v>
      </c>
      <c r="K36" t="s">
        <v>35</v>
      </c>
      <c r="L36" s="14">
        <f aca="true" t="shared" si="9" ref="L36:L42">($J$306-J36)/$J$306</f>
        <v>0.032708525671774055</v>
      </c>
    </row>
    <row r="37" spans="1:12" ht="12.75">
      <c r="A37">
        <v>56227</v>
      </c>
      <c r="B37" t="s">
        <v>42</v>
      </c>
      <c r="C37" s="1">
        <v>73.6</v>
      </c>
      <c r="D37" s="1">
        <f t="shared" si="5"/>
        <v>19.443123580070797</v>
      </c>
      <c r="E37" s="6">
        <v>430</v>
      </c>
      <c r="F37" t="s">
        <v>41</v>
      </c>
      <c r="G37" s="7">
        <f t="shared" si="6"/>
        <v>37.10094909404659</v>
      </c>
      <c r="H37" s="7">
        <f t="shared" si="7"/>
        <v>0.5040889822560678</v>
      </c>
      <c r="I37" s="6">
        <v>438</v>
      </c>
      <c r="J37" s="1">
        <f t="shared" si="8"/>
        <v>22.527244565217394</v>
      </c>
      <c r="K37" t="s">
        <v>35</v>
      </c>
      <c r="L37" s="14">
        <f t="shared" si="9"/>
        <v>-0.03767327317898196</v>
      </c>
    </row>
    <row r="38" spans="1:12" ht="12.75">
      <c r="A38">
        <v>56618</v>
      </c>
      <c r="B38" t="s">
        <v>43</v>
      </c>
      <c r="C38" s="1">
        <v>70</v>
      </c>
      <c r="D38" s="1">
        <f t="shared" si="5"/>
        <v>18.492101231045595</v>
      </c>
      <c r="E38" s="6">
        <v>410</v>
      </c>
      <c r="F38" t="s">
        <v>41</v>
      </c>
      <c r="G38" s="7">
        <f t="shared" si="6"/>
        <v>35.37532355478861</v>
      </c>
      <c r="H38" s="7">
        <f t="shared" si="7"/>
        <v>0.5053617650684087</v>
      </c>
      <c r="I38" s="6">
        <v>391</v>
      </c>
      <c r="J38" s="1">
        <f t="shared" si="8"/>
        <v>21.14416285714286</v>
      </c>
      <c r="K38" t="s">
        <v>35</v>
      </c>
      <c r="L38" s="14">
        <f t="shared" si="9"/>
        <v>0.026035669072554772</v>
      </c>
    </row>
    <row r="39" spans="1:12" ht="12.75">
      <c r="A39">
        <v>57092</v>
      </c>
      <c r="B39" t="s">
        <v>46</v>
      </c>
      <c r="C39" s="1">
        <v>82</v>
      </c>
      <c r="D39" s="1">
        <f t="shared" si="5"/>
        <v>21.66217572779627</v>
      </c>
      <c r="E39" s="6">
        <v>473</v>
      </c>
      <c r="F39" t="s">
        <v>41</v>
      </c>
      <c r="G39" s="7">
        <f t="shared" si="6"/>
        <v>40.81104400345125</v>
      </c>
      <c r="H39" s="7">
        <f t="shared" si="7"/>
        <v>0.4976956585786738</v>
      </c>
      <c r="I39" s="6">
        <v>473</v>
      </c>
      <c r="J39" s="1">
        <f t="shared" si="8"/>
        <v>21.83529512195122</v>
      </c>
      <c r="K39" t="s">
        <v>50</v>
      </c>
      <c r="L39" s="14">
        <f t="shared" si="9"/>
        <v>-0.005799981192929561</v>
      </c>
    </row>
    <row r="40" spans="1:12" ht="12.75">
      <c r="A40">
        <v>57512</v>
      </c>
      <c r="B40" t="s">
        <v>47</v>
      </c>
      <c r="C40" s="1">
        <v>75</v>
      </c>
      <c r="D40" s="1">
        <f t="shared" si="5"/>
        <v>19.81296560469171</v>
      </c>
      <c r="E40" s="6">
        <v>420</v>
      </c>
      <c r="F40" t="s">
        <v>41</v>
      </c>
      <c r="G40" s="7">
        <f t="shared" si="6"/>
        <v>36.2381363244176</v>
      </c>
      <c r="H40" s="7">
        <f t="shared" si="7"/>
        <v>0.4831751509922347</v>
      </c>
      <c r="I40" s="6">
        <v>420</v>
      </c>
      <c r="J40" s="1">
        <f t="shared" si="8"/>
        <v>21.198240000000002</v>
      </c>
      <c r="L40" s="14">
        <f t="shared" si="9"/>
        <v>0.023544711704453904</v>
      </c>
    </row>
    <row r="41" spans="1:12" ht="12.75">
      <c r="A41">
        <v>58032</v>
      </c>
      <c r="B41" t="s">
        <v>48</v>
      </c>
      <c r="C41" s="1">
        <v>92</v>
      </c>
      <c r="D41" s="1">
        <f t="shared" si="5"/>
        <v>24.303904475088498</v>
      </c>
      <c r="E41" s="6">
        <v>520</v>
      </c>
      <c r="F41" t="s">
        <v>41</v>
      </c>
      <c r="G41" s="7">
        <f t="shared" si="6"/>
        <v>44.866264020707504</v>
      </c>
      <c r="H41" s="7">
        <f t="shared" si="7"/>
        <v>0.48767678283377724</v>
      </c>
      <c r="I41" s="6">
        <v>530</v>
      </c>
      <c r="J41" s="1">
        <f t="shared" si="8"/>
        <v>21.807195652173913</v>
      </c>
      <c r="L41" s="14">
        <f t="shared" si="9"/>
        <v>-0.0045056343102472555</v>
      </c>
    </row>
    <row r="42" spans="1:12" ht="12.75">
      <c r="A42">
        <v>58506</v>
      </c>
      <c r="B42" t="s">
        <v>49</v>
      </c>
      <c r="C42" s="1">
        <v>87</v>
      </c>
      <c r="D42" s="1">
        <f t="shared" si="5"/>
        <v>22.983040101442384</v>
      </c>
      <c r="E42" s="6">
        <v>473</v>
      </c>
      <c r="F42" t="s">
        <v>41</v>
      </c>
      <c r="G42" s="7">
        <f t="shared" si="6"/>
        <v>40.81104400345125</v>
      </c>
      <c r="H42" s="7">
        <f t="shared" si="7"/>
        <v>0.4690924598097845</v>
      </c>
      <c r="I42" s="6">
        <v>473</v>
      </c>
      <c r="J42" s="1">
        <f t="shared" si="8"/>
        <v>20.580393103448277</v>
      </c>
      <c r="L42" s="14">
        <f t="shared" si="9"/>
        <v>0.052004615427353705</v>
      </c>
    </row>
    <row r="43" spans="4:10" ht="12.75">
      <c r="D43" s="1"/>
      <c r="G43" s="7"/>
      <c r="H43" s="7"/>
      <c r="J43" s="1"/>
    </row>
    <row r="44" spans="4:10" ht="12.75">
      <c r="D44" s="1"/>
      <c r="G44" s="7"/>
      <c r="H44" s="7"/>
      <c r="J44" s="1"/>
    </row>
    <row r="48" spans="1:12" ht="12.75">
      <c r="A48" s="9" t="s">
        <v>44</v>
      </c>
      <c r="B48" s="9"/>
      <c r="C48" s="10">
        <f>SUM(C36:C47)</f>
        <v>548.1</v>
      </c>
      <c r="D48" s="10">
        <f>SUM(D36:D47)</f>
        <v>144.79315263908703</v>
      </c>
      <c r="E48" s="12">
        <f>SUM(E36:E47)</f>
        <v>3126</v>
      </c>
      <c r="F48" s="9"/>
      <c r="G48" s="11">
        <f>SUM(G36:G47)</f>
        <v>269.7152717860224</v>
      </c>
      <c r="H48" s="11">
        <f>G48/C48</f>
        <v>0.49209135520164643</v>
      </c>
      <c r="I48" s="12">
        <f>SUM(I36:I47)</f>
        <v>3105</v>
      </c>
      <c r="J48" s="10">
        <f>I48/D48</f>
        <v>21.4443842364532</v>
      </c>
      <c r="L48" s="14">
        <f>($J$306-J48)/$J$306</f>
        <v>0.012206560925512156</v>
      </c>
    </row>
    <row r="50" ht="12.75">
      <c r="A50" s="9" t="s">
        <v>31</v>
      </c>
    </row>
    <row r="51" spans="1:12" ht="12.75">
      <c r="A51" t="s">
        <v>12</v>
      </c>
      <c r="B51" t="s">
        <v>13</v>
      </c>
      <c r="C51" s="5" t="s">
        <v>15</v>
      </c>
      <c r="D51" t="s">
        <v>21</v>
      </c>
      <c r="E51" s="6" t="s">
        <v>16</v>
      </c>
      <c r="F51" t="s">
        <v>18</v>
      </c>
      <c r="G51" s="3" t="s">
        <v>19</v>
      </c>
      <c r="H51" t="s">
        <v>26</v>
      </c>
      <c r="I51" s="6" t="s">
        <v>20</v>
      </c>
      <c r="J51" t="s">
        <v>3</v>
      </c>
      <c r="K51" t="s">
        <v>32</v>
      </c>
      <c r="L51" t="s">
        <v>66</v>
      </c>
    </row>
    <row r="52" spans="1:12" ht="12.75">
      <c r="A52">
        <v>58865</v>
      </c>
      <c r="B52" t="s">
        <v>57</v>
      </c>
      <c r="C52" s="1">
        <v>63</v>
      </c>
      <c r="D52" s="1">
        <f aca="true" t="shared" si="10" ref="D52:D57">C52/3.7854</f>
        <v>16.642891107941036</v>
      </c>
      <c r="E52" s="6">
        <v>231</v>
      </c>
      <c r="F52" t="s">
        <v>58</v>
      </c>
      <c r="G52" s="7">
        <f aca="true" t="shared" si="11" ref="G52:G57">E52/8.57</f>
        <v>26.954492415402566</v>
      </c>
      <c r="H52" s="7">
        <f aca="true" t="shared" si="12" ref="H52:H57">G52/C52</f>
        <v>0.42784908595877086</v>
      </c>
      <c r="I52" s="6">
        <v>359</v>
      </c>
      <c r="J52" s="1">
        <f aca="true" t="shared" si="13" ref="J52:J57">I52/D52</f>
        <v>21.57077142857143</v>
      </c>
      <c r="L52" s="14">
        <f aca="true" t="shared" si="14" ref="L52:L57">($J$306-J52)/$J$306</f>
        <v>0.006384783168647868</v>
      </c>
    </row>
    <row r="53" spans="1:12" ht="12.75">
      <c r="A53">
        <v>59227</v>
      </c>
      <c r="B53" t="s">
        <v>59</v>
      </c>
      <c r="C53" s="1">
        <v>68</v>
      </c>
      <c r="D53" s="1">
        <f t="shared" si="10"/>
        <v>17.96375548158715</v>
      </c>
      <c r="E53" s="6">
        <v>251</v>
      </c>
      <c r="F53" t="s">
        <v>58</v>
      </c>
      <c r="G53" s="7">
        <f t="shared" si="11"/>
        <v>29.288214702450407</v>
      </c>
      <c r="H53" s="7">
        <f t="shared" si="12"/>
        <v>0.43070903974191777</v>
      </c>
      <c r="I53" s="6">
        <v>362</v>
      </c>
      <c r="J53" s="1">
        <f t="shared" si="13"/>
        <v>20.15168823529412</v>
      </c>
      <c r="L53" s="14">
        <f t="shared" si="14"/>
        <v>0.07175206312240626</v>
      </c>
    </row>
    <row r="54" spans="1:12" ht="12.75">
      <c r="A54">
        <v>59352</v>
      </c>
      <c r="B54" t="s">
        <v>60</v>
      </c>
      <c r="C54" s="1">
        <v>20</v>
      </c>
      <c r="D54" s="1">
        <f t="shared" si="10"/>
        <v>5.283457494584456</v>
      </c>
      <c r="E54" s="6">
        <v>75</v>
      </c>
      <c r="F54" t="s">
        <v>58</v>
      </c>
      <c r="G54" s="7">
        <f t="shared" si="11"/>
        <v>8.751458576429405</v>
      </c>
      <c r="H54" s="7">
        <f t="shared" si="12"/>
        <v>0.43757292882147025</v>
      </c>
      <c r="I54" s="6">
        <v>125</v>
      </c>
      <c r="J54" s="1">
        <f t="shared" si="13"/>
        <v>23.658749999999998</v>
      </c>
      <c r="L54" s="14">
        <f t="shared" si="14"/>
        <v>-0.08979384854413607</v>
      </c>
    </row>
    <row r="55" spans="1:12" ht="12.75">
      <c r="A55">
        <v>59869</v>
      </c>
      <c r="B55" t="s">
        <v>61</v>
      </c>
      <c r="C55" s="5">
        <f>122-20</f>
        <v>102</v>
      </c>
      <c r="D55" s="1">
        <f t="shared" si="10"/>
        <v>26.945633222380724</v>
      </c>
      <c r="E55" s="6">
        <v>465</v>
      </c>
      <c r="F55" t="s">
        <v>58</v>
      </c>
      <c r="G55" s="7">
        <f t="shared" si="11"/>
        <v>54.25904317386231</v>
      </c>
      <c r="H55" s="7">
        <f t="shared" si="12"/>
        <v>0.5319514036653168</v>
      </c>
      <c r="I55" s="6">
        <v>516</v>
      </c>
      <c r="J55" s="1">
        <f t="shared" si="13"/>
        <v>19.149670588235296</v>
      </c>
      <c r="K55" t="s">
        <v>62</v>
      </c>
      <c r="L55" s="14">
        <f t="shared" si="14"/>
        <v>0.1179080378842756</v>
      </c>
    </row>
    <row r="56" spans="1:12" ht="12.75">
      <c r="A56">
        <v>60423</v>
      </c>
      <c r="B56" t="s">
        <v>61</v>
      </c>
      <c r="C56" s="1">
        <v>101</v>
      </c>
      <c r="D56" s="1">
        <f t="shared" si="10"/>
        <v>26.6814603476515</v>
      </c>
      <c r="E56" s="6">
        <v>384</v>
      </c>
      <c r="F56" t="s">
        <v>58</v>
      </c>
      <c r="G56" s="7">
        <f t="shared" si="11"/>
        <v>44.807467911318554</v>
      </c>
      <c r="H56" s="7">
        <f t="shared" si="12"/>
        <v>0.44363829615166883</v>
      </c>
      <c r="I56" s="6">
        <v>554</v>
      </c>
      <c r="J56" s="1">
        <f t="shared" si="13"/>
        <v>20.763481188118813</v>
      </c>
      <c r="L56" s="14">
        <f t="shared" si="14"/>
        <v>0.043571022426215474</v>
      </c>
    </row>
    <row r="57" spans="1:13" ht="12.75">
      <c r="A57">
        <v>60959</v>
      </c>
      <c r="B57" t="s">
        <v>63</v>
      </c>
      <c r="C57" s="1">
        <v>120</v>
      </c>
      <c r="D57" s="1">
        <f t="shared" si="10"/>
        <v>31.700744967506736</v>
      </c>
      <c r="E57" s="6">
        <v>456</v>
      </c>
      <c r="F57" t="s">
        <v>58</v>
      </c>
      <c r="G57" s="7">
        <f t="shared" si="11"/>
        <v>53.20886814469078</v>
      </c>
      <c r="H57" s="7">
        <f t="shared" si="12"/>
        <v>0.44340723453908987</v>
      </c>
      <c r="I57" s="6">
        <v>535</v>
      </c>
      <c r="J57" s="1">
        <f t="shared" si="13"/>
        <v>16.876575</v>
      </c>
      <c r="K57" t="s">
        <v>64</v>
      </c>
      <c r="L57" s="14">
        <f t="shared" si="14"/>
        <v>0.2226137213718496</v>
      </c>
      <c r="M57" t="s">
        <v>65</v>
      </c>
    </row>
    <row r="58" spans="4:10" ht="12.75">
      <c r="D58" s="1"/>
      <c r="G58" s="7"/>
      <c r="H58" s="7"/>
      <c r="J58" s="1"/>
    </row>
    <row r="59" spans="4:10" ht="12.75">
      <c r="D59" s="1"/>
      <c r="G59" s="7"/>
      <c r="H59" s="7"/>
      <c r="J59" s="1"/>
    </row>
    <row r="60" spans="4:10" ht="12.75">
      <c r="D60" s="1"/>
      <c r="G60" s="7"/>
      <c r="H60" s="7"/>
      <c r="J60" s="1"/>
    </row>
    <row r="61" spans="4:10" ht="12.75">
      <c r="D61" s="1"/>
      <c r="G61" s="7"/>
      <c r="H61" s="7"/>
      <c r="J61" s="1"/>
    </row>
    <row r="62" spans="4:10" ht="12.75">
      <c r="D62" s="1"/>
      <c r="G62" s="7"/>
      <c r="H62" s="7"/>
      <c r="J62" s="1"/>
    </row>
    <row r="63" spans="1:12" ht="12.75">
      <c r="A63" s="9" t="s">
        <v>56</v>
      </c>
      <c r="B63" s="9"/>
      <c r="C63" s="10">
        <f>SUM(C52:C62)</f>
        <v>474</v>
      </c>
      <c r="D63" s="10">
        <f>SUM(D52:D62)</f>
        <v>125.2179426216516</v>
      </c>
      <c r="E63" s="12">
        <f>SUM(E52:E62)</f>
        <v>1862</v>
      </c>
      <c r="F63" s="9"/>
      <c r="G63" s="11">
        <f>SUM(G52:G62)</f>
        <v>217.269544924154</v>
      </c>
      <c r="H63" s="11">
        <f>SUM(H52:H62)</f>
        <v>2.7151279888782347</v>
      </c>
      <c r="I63" s="12">
        <f>SUM(I52:I62)</f>
        <v>2451</v>
      </c>
      <c r="J63" s="10">
        <f>I63/D63</f>
        <v>19.573872151898737</v>
      </c>
      <c r="L63" s="14">
        <f>($J$306-J63)/$J$306</f>
        <v>0.09836802606525634</v>
      </c>
    </row>
    <row r="64" spans="1:12" ht="12.75">
      <c r="A64" s="9"/>
      <c r="B64" s="9"/>
      <c r="C64" s="10"/>
      <c r="D64" s="10"/>
      <c r="E64" s="12"/>
      <c r="F64" s="9"/>
      <c r="G64" s="11"/>
      <c r="H64" s="11"/>
      <c r="I64" s="12"/>
      <c r="J64" s="10"/>
      <c r="L64" s="14"/>
    </row>
    <row r="65" ht="12.75">
      <c r="A65" s="9" t="s">
        <v>31</v>
      </c>
    </row>
    <row r="66" spans="1:12" ht="12.75">
      <c r="A66" t="s">
        <v>12</v>
      </c>
      <c r="B66" t="s">
        <v>13</v>
      </c>
      <c r="C66" s="5" t="s">
        <v>15</v>
      </c>
      <c r="D66" t="s">
        <v>21</v>
      </c>
      <c r="E66" s="6" t="s">
        <v>16</v>
      </c>
      <c r="F66" t="s">
        <v>18</v>
      </c>
      <c r="G66" s="3" t="s">
        <v>19</v>
      </c>
      <c r="H66" t="s">
        <v>26</v>
      </c>
      <c r="I66" s="6" t="s">
        <v>20</v>
      </c>
      <c r="J66" t="s">
        <v>3</v>
      </c>
      <c r="K66" t="s">
        <v>32</v>
      </c>
      <c r="L66" t="s">
        <v>66</v>
      </c>
    </row>
    <row r="67" spans="1:12" ht="12.75">
      <c r="A67">
        <v>61570</v>
      </c>
      <c r="B67" t="s">
        <v>68</v>
      </c>
      <c r="C67" s="1">
        <f>37+75</f>
        <v>112</v>
      </c>
      <c r="D67" s="1">
        <f>C67/3.7854</f>
        <v>29.587361969672955</v>
      </c>
      <c r="E67" s="6">
        <v>200000</v>
      </c>
      <c r="F67" t="s">
        <v>69</v>
      </c>
      <c r="G67" s="7">
        <f>E67/7500</f>
        <v>26.666666666666668</v>
      </c>
      <c r="H67" s="7">
        <f>G67/C67</f>
        <v>0.2380952380952381</v>
      </c>
      <c r="I67" s="6">
        <v>611</v>
      </c>
      <c r="J67" s="1">
        <f>I67/D67</f>
        <v>20.65070892857143</v>
      </c>
      <c r="L67" s="14">
        <f>($J$306-J67)/$J$306</f>
        <v>0.0487656550564754</v>
      </c>
    </row>
    <row r="68" spans="1:12" ht="12.75">
      <c r="A68">
        <v>61977</v>
      </c>
      <c r="B68" t="s">
        <v>70</v>
      </c>
      <c r="C68" s="1">
        <v>68</v>
      </c>
      <c r="D68" s="1">
        <f>C68/3.7854</f>
        <v>17.96375548158715</v>
      </c>
      <c r="E68" s="6">
        <v>410000</v>
      </c>
      <c r="F68" t="s">
        <v>69</v>
      </c>
      <c r="G68" s="7">
        <f>E68/7500</f>
        <v>54.666666666666664</v>
      </c>
      <c r="H68" s="7">
        <f>G68/C68</f>
        <v>0.8039215686274509</v>
      </c>
      <c r="I68" s="6">
        <v>406</v>
      </c>
      <c r="J68" s="1">
        <f>I68/D68</f>
        <v>22.601064705882354</v>
      </c>
      <c r="L68" s="14">
        <f>($J$306-J68)/$J$306</f>
        <v>-0.04107365296216309</v>
      </c>
    </row>
    <row r="69" spans="4:12" ht="12.75">
      <c r="D69" s="1"/>
      <c r="G69" s="7"/>
      <c r="H69" s="7"/>
      <c r="J69" s="1"/>
      <c r="L69" s="14"/>
    </row>
    <row r="70" spans="3:12" ht="12.75">
      <c r="C70" s="5"/>
      <c r="D70" s="1"/>
      <c r="G70" s="7"/>
      <c r="H70" s="7"/>
      <c r="J70" s="1"/>
      <c r="L70" s="14"/>
    </row>
    <row r="71" spans="4:12" ht="12.75">
      <c r="D71" s="1"/>
      <c r="G71" s="7"/>
      <c r="H71" s="7"/>
      <c r="J71" s="1"/>
      <c r="L71" s="14"/>
    </row>
    <row r="72" spans="4:12" ht="12.75">
      <c r="D72" s="1"/>
      <c r="G72" s="7"/>
      <c r="H72" s="7"/>
      <c r="J72" s="1"/>
      <c r="L72" s="14"/>
    </row>
    <row r="73" spans="4:10" ht="12.75">
      <c r="D73" s="1"/>
      <c r="G73" s="7"/>
      <c r="H73" s="7"/>
      <c r="J73" s="1"/>
    </row>
    <row r="74" spans="4:10" ht="12.75">
      <c r="D74" s="1"/>
      <c r="G74" s="7"/>
      <c r="H74" s="7"/>
      <c r="J74" s="1"/>
    </row>
    <row r="75" spans="4:10" ht="12.75">
      <c r="D75" s="1"/>
      <c r="G75" s="7"/>
      <c r="H75" s="7"/>
      <c r="J75" s="1"/>
    </row>
    <row r="76" spans="4:10" ht="12.75">
      <c r="D76" s="1"/>
      <c r="G76" s="7"/>
      <c r="H76" s="7"/>
      <c r="J76" s="1"/>
    </row>
    <row r="77" spans="4:10" ht="12.75">
      <c r="D77" s="1"/>
      <c r="G77" s="7"/>
      <c r="H77" s="7"/>
      <c r="J77" s="1"/>
    </row>
    <row r="78" spans="1:12" ht="12.75">
      <c r="A78" s="9" t="s">
        <v>67</v>
      </c>
      <c r="B78" s="9"/>
      <c r="C78" s="10">
        <f>SUM(C67:C77)</f>
        <v>180</v>
      </c>
      <c r="D78" s="10">
        <f>SUM(D67:D77)</f>
        <v>47.551117451260104</v>
      </c>
      <c r="E78" s="12">
        <f>SUM(E67:E77)</f>
        <v>610000</v>
      </c>
      <c r="F78" s="9"/>
      <c r="G78" s="11">
        <f>SUM(G67:G77)</f>
        <v>81.33333333333333</v>
      </c>
      <c r="H78" s="11">
        <f>SUM(H67:H77)</f>
        <v>1.042016806722689</v>
      </c>
      <c r="I78" s="12">
        <f>SUM(I67:I77)</f>
        <v>1017</v>
      </c>
      <c r="J78" s="10">
        <f>I78/D78</f>
        <v>21.38751</v>
      </c>
      <c r="L78" s="14">
        <f>($J$306-J78)/$J$306</f>
        <v>0.014826360916100956</v>
      </c>
    </row>
    <row r="79" spans="1:12" ht="12.75">
      <c r="A79" s="9"/>
      <c r="B79" s="9"/>
      <c r="C79" s="10"/>
      <c r="D79" s="10"/>
      <c r="E79" s="12"/>
      <c r="F79" s="9"/>
      <c r="G79" s="11"/>
      <c r="H79" s="11"/>
      <c r="I79" s="12"/>
      <c r="J79" s="10"/>
      <c r="L79" s="14"/>
    </row>
    <row r="80" ht="12.75">
      <c r="A80" s="9" t="s">
        <v>31</v>
      </c>
    </row>
    <row r="81" spans="1:12" ht="12.75">
      <c r="A81" t="s">
        <v>12</v>
      </c>
      <c r="B81" t="s">
        <v>13</v>
      </c>
      <c r="C81" s="5" t="s">
        <v>15</v>
      </c>
      <c r="D81" t="s">
        <v>21</v>
      </c>
      <c r="E81" s="6" t="s">
        <v>16</v>
      </c>
      <c r="F81" t="s">
        <v>18</v>
      </c>
      <c r="G81" s="3" t="s">
        <v>19</v>
      </c>
      <c r="H81" t="s">
        <v>26</v>
      </c>
      <c r="I81" s="6" t="s">
        <v>20</v>
      </c>
      <c r="J81" t="s">
        <v>3</v>
      </c>
      <c r="K81" t="s">
        <v>32</v>
      </c>
      <c r="L81" t="s">
        <v>66</v>
      </c>
    </row>
    <row r="82" spans="1:12" ht="12.75">
      <c r="A82" s="15">
        <v>62444</v>
      </c>
      <c r="B82" s="15" t="s">
        <v>72</v>
      </c>
      <c r="C82" s="1">
        <v>76</v>
      </c>
      <c r="D82" s="1">
        <f>C82/3.7854</f>
        <v>20.07713847942093</v>
      </c>
      <c r="E82" s="6">
        <v>9500</v>
      </c>
      <c r="F82" t="s">
        <v>69</v>
      </c>
      <c r="G82" s="7">
        <f>E82/215</f>
        <v>44.18604651162791</v>
      </c>
      <c r="H82" s="7">
        <f>G82/C82</f>
        <v>0.5813953488372093</v>
      </c>
      <c r="I82" s="6">
        <v>467</v>
      </c>
      <c r="J82" s="1">
        <f>I82/D82</f>
        <v>23.260286842105266</v>
      </c>
      <c r="L82" s="14">
        <f>($J$306-J82)/$J$306</f>
        <v>-0.07143942583181401</v>
      </c>
    </row>
    <row r="83" spans="1:12" ht="12.75">
      <c r="A83" s="15">
        <v>62702</v>
      </c>
      <c r="B83" s="15" t="s">
        <v>73</v>
      </c>
      <c r="C83" s="1">
        <v>42</v>
      </c>
      <c r="D83" s="1">
        <f>C83/3.7854</f>
        <v>11.095260738627358</v>
      </c>
      <c r="E83" s="6">
        <v>5200</v>
      </c>
      <c r="F83" t="s">
        <v>69</v>
      </c>
      <c r="G83" s="7">
        <f>E83/215</f>
        <v>24.186046511627907</v>
      </c>
      <c r="H83" s="7">
        <f>G83/C83</f>
        <v>0.5758582502768549</v>
      </c>
      <c r="I83" s="6">
        <v>259</v>
      </c>
      <c r="J83" s="1">
        <f>I83/D83</f>
        <v>23.3433</v>
      </c>
      <c r="L83" s="14">
        <f>($J$306-J83)/$J$306</f>
        <v>-0.07526326389688098</v>
      </c>
    </row>
    <row r="84" spans="1:12" ht="12.75">
      <c r="A84">
        <v>63958</v>
      </c>
      <c r="B84" s="15" t="s">
        <v>76</v>
      </c>
      <c r="C84" s="1">
        <v>80</v>
      </c>
      <c r="D84" s="1">
        <f aca="true" t="shared" si="15" ref="D84:D89">C84/3.7854</f>
        <v>21.133829978337825</v>
      </c>
      <c r="E84" s="6">
        <v>10060</v>
      </c>
      <c r="F84" t="s">
        <v>69</v>
      </c>
      <c r="G84" s="7">
        <f aca="true" t="shared" si="16" ref="G84:G89">E84/215</f>
        <v>46.7906976744186</v>
      </c>
      <c r="H84" s="7">
        <f aca="true" t="shared" si="17" ref="H84:H89">G84/C84</f>
        <v>0.5848837209302326</v>
      </c>
      <c r="I84" s="6">
        <v>474</v>
      </c>
      <c r="J84" s="1">
        <f aca="true" t="shared" si="18" ref="J84:J89">I84/D84</f>
        <v>22.428494999999998</v>
      </c>
      <c r="L84" s="14"/>
    </row>
    <row r="85" spans="1:12" ht="12.75">
      <c r="A85">
        <v>64313</v>
      </c>
      <c r="B85" s="15" t="s">
        <v>72</v>
      </c>
      <c r="C85" s="5">
        <v>59</v>
      </c>
      <c r="D85" s="1">
        <f t="shared" si="15"/>
        <v>15.586199609024145</v>
      </c>
      <c r="E85" s="6">
        <v>7400</v>
      </c>
      <c r="F85" t="s">
        <v>69</v>
      </c>
      <c r="G85" s="7">
        <f t="shared" si="16"/>
        <v>34.41860465116279</v>
      </c>
      <c r="H85" s="7">
        <f t="shared" si="17"/>
        <v>0.5833661805281829</v>
      </c>
      <c r="I85" s="6">
        <v>355</v>
      </c>
      <c r="J85" s="1">
        <f t="shared" si="18"/>
        <v>22.776559322033897</v>
      </c>
      <c r="L85" s="14"/>
    </row>
    <row r="86" spans="1:12" ht="12.75">
      <c r="A86">
        <v>64656</v>
      </c>
      <c r="B86" s="15" t="s">
        <v>77</v>
      </c>
      <c r="C86" s="1">
        <v>57</v>
      </c>
      <c r="D86" s="1">
        <f t="shared" si="15"/>
        <v>15.0578538595657</v>
      </c>
      <c r="E86" s="6">
        <v>7100</v>
      </c>
      <c r="F86" t="s">
        <v>69</v>
      </c>
      <c r="G86" s="7">
        <f t="shared" si="16"/>
        <v>33.02325581395349</v>
      </c>
      <c r="H86" s="7">
        <f t="shared" si="17"/>
        <v>0.5793553651570787</v>
      </c>
      <c r="I86" s="6">
        <v>345</v>
      </c>
      <c r="J86" s="1">
        <f t="shared" si="18"/>
        <v>22.911631578947368</v>
      </c>
      <c r="L86" s="14"/>
    </row>
    <row r="87" spans="4:12" ht="12.75">
      <c r="D87" s="1">
        <f t="shared" si="15"/>
        <v>0</v>
      </c>
      <c r="G87" s="7">
        <f t="shared" si="16"/>
        <v>0</v>
      </c>
      <c r="H87" s="7" t="e">
        <f t="shared" si="17"/>
        <v>#DIV/0!</v>
      </c>
      <c r="J87" s="1" t="e">
        <f t="shared" si="18"/>
        <v>#DIV/0!</v>
      </c>
      <c r="L87" s="14"/>
    </row>
    <row r="88" spans="4:10" ht="12.75">
      <c r="D88" s="1">
        <f t="shared" si="15"/>
        <v>0</v>
      </c>
      <c r="G88" s="7">
        <f t="shared" si="16"/>
        <v>0</v>
      </c>
      <c r="H88" s="7" t="e">
        <f t="shared" si="17"/>
        <v>#DIV/0!</v>
      </c>
      <c r="J88" s="1" t="e">
        <f t="shared" si="18"/>
        <v>#DIV/0!</v>
      </c>
    </row>
    <row r="89" spans="4:10" ht="12.75">
      <c r="D89" s="1">
        <f t="shared" si="15"/>
        <v>0</v>
      </c>
      <c r="G89" s="7">
        <f t="shared" si="16"/>
        <v>0</v>
      </c>
      <c r="H89" s="7" t="e">
        <f t="shared" si="17"/>
        <v>#DIV/0!</v>
      </c>
      <c r="J89" s="1" t="e">
        <f t="shared" si="18"/>
        <v>#DIV/0!</v>
      </c>
    </row>
    <row r="90" spans="4:10" ht="12.75">
      <c r="D90" s="1"/>
      <c r="G90" s="7"/>
      <c r="H90" s="7"/>
      <c r="J90" s="1"/>
    </row>
    <row r="91" spans="4:10" ht="12.75">
      <c r="D91" s="1"/>
      <c r="G91" s="7"/>
      <c r="H91" s="7"/>
      <c r="J91" s="1"/>
    </row>
    <row r="92" spans="4:10" ht="12.75">
      <c r="D92" s="1"/>
      <c r="G92" s="7"/>
      <c r="H92" s="7"/>
      <c r="J92" s="1"/>
    </row>
    <row r="93" spans="1:12" ht="12.75">
      <c r="A93" s="9" t="s">
        <v>71</v>
      </c>
      <c r="B93" s="9"/>
      <c r="C93" s="10">
        <f>SUM(C82:C92)</f>
        <v>314</v>
      </c>
      <c r="D93" s="10">
        <f>SUM(D82:D92)</f>
        <v>82.95028266497596</v>
      </c>
      <c r="E93" s="12">
        <f>SUM(E82:E92)</f>
        <v>39260</v>
      </c>
      <c r="F93" s="9"/>
      <c r="G93" s="11">
        <f>SUM(G82:G92)</f>
        <v>182.60465116279067</v>
      </c>
      <c r="H93" s="11" t="e">
        <f>SUM(H82:H92)</f>
        <v>#DIV/0!</v>
      </c>
      <c r="I93" s="12">
        <f>SUM(I82:I92)</f>
        <v>1900</v>
      </c>
      <c r="J93" s="10">
        <f>I93/D93</f>
        <v>22.90528662420382</v>
      </c>
      <c r="L93" s="14">
        <f>($J$306-J93)/$J$306</f>
        <v>-0.0550870380809471</v>
      </c>
    </row>
    <row r="94" spans="1:12" ht="12.75">
      <c r="A94" s="9"/>
      <c r="B94" s="9"/>
      <c r="C94" s="10"/>
      <c r="D94" s="10"/>
      <c r="E94" s="12"/>
      <c r="F94" s="9"/>
      <c r="G94" s="11"/>
      <c r="H94" s="11"/>
      <c r="I94" s="12"/>
      <c r="J94" s="10"/>
      <c r="L94" s="14"/>
    </row>
    <row r="95" ht="12.75">
      <c r="A95" s="9" t="s">
        <v>31</v>
      </c>
    </row>
    <row r="96" spans="1:12" ht="12.75">
      <c r="A96" t="s">
        <v>12</v>
      </c>
      <c r="B96" t="s">
        <v>13</v>
      </c>
      <c r="C96" s="5" t="s">
        <v>15</v>
      </c>
      <c r="D96" t="s">
        <v>21</v>
      </c>
      <c r="E96" s="6" t="s">
        <v>16</v>
      </c>
      <c r="F96" t="s">
        <v>18</v>
      </c>
      <c r="G96" s="3" t="s">
        <v>19</v>
      </c>
      <c r="H96" t="s">
        <v>26</v>
      </c>
      <c r="I96" s="6" t="s">
        <v>20</v>
      </c>
      <c r="J96" t="s">
        <v>3</v>
      </c>
      <c r="K96" t="s">
        <v>32</v>
      </c>
      <c r="L96" t="s">
        <v>66</v>
      </c>
    </row>
    <row r="97" spans="1:12" ht="12.75">
      <c r="A97" s="15">
        <v>63064</v>
      </c>
      <c r="B97" s="15" t="s">
        <v>75</v>
      </c>
      <c r="C97" s="1">
        <v>61</v>
      </c>
      <c r="D97" s="1">
        <f>C97/3.7854</f>
        <v>16.11454535848259</v>
      </c>
      <c r="E97" s="6">
        <v>1364000</v>
      </c>
      <c r="F97" t="s">
        <v>69</v>
      </c>
      <c r="G97" s="7">
        <f>E97/40000</f>
        <v>34.1</v>
      </c>
      <c r="H97" s="7">
        <f>G97/C97</f>
        <v>0.559016393442623</v>
      </c>
      <c r="I97" s="6">
        <v>362</v>
      </c>
      <c r="J97" s="1">
        <f>I97/D97</f>
        <v>22.46417704918033</v>
      </c>
      <c r="L97" s="14">
        <f>($J$306-J97)/$J$306</f>
        <v>-0.0347681919291208</v>
      </c>
    </row>
    <row r="98" spans="1:12" ht="12.75">
      <c r="A98" s="15">
        <v>63483</v>
      </c>
      <c r="B98" s="15" t="s">
        <v>75</v>
      </c>
      <c r="C98" s="1">
        <v>71</v>
      </c>
      <c r="D98" s="1">
        <f>C98/3.7854</f>
        <v>18.756274105774818</v>
      </c>
      <c r="E98" s="6">
        <v>1586000</v>
      </c>
      <c r="F98" t="s">
        <v>69</v>
      </c>
      <c r="G98" s="7">
        <f>E98/40000</f>
        <v>39.65</v>
      </c>
      <c r="H98" s="7">
        <f>G98/C98</f>
        <v>0.5584507042253521</v>
      </c>
      <c r="I98" s="6">
        <v>418</v>
      </c>
      <c r="J98" s="1">
        <f>I98/D98</f>
        <v>22.28587605633803</v>
      </c>
      <c r="L98" s="14">
        <f>($J$306-J98)/$J$306</f>
        <v>-0.026555106910307474</v>
      </c>
    </row>
    <row r="99" spans="1:12" ht="12.75">
      <c r="A99" s="15"/>
      <c r="B99" s="15"/>
      <c r="D99" s="1"/>
      <c r="G99" s="7"/>
      <c r="H99" s="7"/>
      <c r="J99" s="1"/>
      <c r="L99" s="14"/>
    </row>
    <row r="100" spans="1:12" ht="12.75">
      <c r="A100" s="15"/>
      <c r="B100" s="15"/>
      <c r="C100" s="5"/>
      <c r="D100" s="1"/>
      <c r="G100" s="7"/>
      <c r="H100" s="7"/>
      <c r="J100" s="1"/>
      <c r="L100" s="14"/>
    </row>
    <row r="101" spans="4:12" ht="12.75">
      <c r="D101" s="1"/>
      <c r="G101" s="7"/>
      <c r="H101" s="7"/>
      <c r="J101" s="1"/>
      <c r="L101" s="14"/>
    </row>
    <row r="102" spans="4:12" ht="12.75">
      <c r="D102" s="1"/>
      <c r="G102" s="7"/>
      <c r="H102" s="7"/>
      <c r="J102" s="1"/>
      <c r="L102" s="14"/>
    </row>
    <row r="103" spans="4:10" ht="12.75">
      <c r="D103" s="1"/>
      <c r="G103" s="7"/>
      <c r="H103" s="7"/>
      <c r="J103" s="1"/>
    </row>
    <row r="104" spans="4:10" ht="12.75">
      <c r="D104" s="1"/>
      <c r="G104" s="7"/>
      <c r="H104" s="7"/>
      <c r="J104" s="1"/>
    </row>
    <row r="105" spans="4:10" ht="12.75">
      <c r="D105" s="1"/>
      <c r="G105" s="7"/>
      <c r="H105" s="7"/>
      <c r="J105" s="1"/>
    </row>
    <row r="106" spans="4:10" ht="12.75">
      <c r="D106" s="1"/>
      <c r="G106" s="7"/>
      <c r="H106" s="7"/>
      <c r="J106" s="1"/>
    </row>
    <row r="107" spans="4:10" ht="12.75">
      <c r="D107" s="1"/>
      <c r="G107" s="7"/>
      <c r="H107" s="7"/>
      <c r="J107" s="1"/>
    </row>
    <row r="108" spans="1:12" ht="12.75">
      <c r="A108" s="9" t="s">
        <v>74</v>
      </c>
      <c r="B108" s="9"/>
      <c r="C108" s="10">
        <f>SUM(C97:C107)</f>
        <v>132</v>
      </c>
      <c r="D108" s="10">
        <f>SUM(D97:D107)</f>
        <v>34.87081946425741</v>
      </c>
      <c r="E108" s="12">
        <f>SUM(E97:E107)</f>
        <v>2950000</v>
      </c>
      <c r="F108" s="9"/>
      <c r="G108" s="11">
        <f>SUM(G97:G107)</f>
        <v>73.75</v>
      </c>
      <c r="H108" s="11">
        <f>SUM(H97:H107)</f>
        <v>1.117467097667975</v>
      </c>
      <c r="I108" s="12">
        <f>SUM(I97:I107)</f>
        <v>780</v>
      </c>
      <c r="J108" s="10">
        <f>I108/D108</f>
        <v>22.36827272727273</v>
      </c>
      <c r="L108" s="14">
        <f>($J$306-J108)/$J$306</f>
        <v>-0.030350547714456066</v>
      </c>
    </row>
    <row r="109" spans="1:12" ht="12.75">
      <c r="A109" s="9"/>
      <c r="B109" s="9"/>
      <c r="C109" s="10"/>
      <c r="D109" s="10"/>
      <c r="E109" s="12"/>
      <c r="F109" s="9"/>
      <c r="G109" s="11"/>
      <c r="H109" s="11"/>
      <c r="I109" s="12"/>
      <c r="J109" s="10"/>
      <c r="L109" s="14"/>
    </row>
    <row r="110" ht="12.75">
      <c r="A110" s="9" t="s">
        <v>31</v>
      </c>
    </row>
    <row r="111" spans="1:12" ht="12.75">
      <c r="A111" t="s">
        <v>12</v>
      </c>
      <c r="B111" t="s">
        <v>13</v>
      </c>
      <c r="C111" s="5" t="s">
        <v>15</v>
      </c>
      <c r="D111" t="s">
        <v>21</v>
      </c>
      <c r="E111" s="6" t="s">
        <v>16</v>
      </c>
      <c r="F111" t="s">
        <v>18</v>
      </c>
      <c r="G111" s="3" t="s">
        <v>19</v>
      </c>
      <c r="H111" t="s">
        <v>26</v>
      </c>
      <c r="I111" s="6" t="s">
        <v>20</v>
      </c>
      <c r="J111" t="s">
        <v>3</v>
      </c>
      <c r="K111" t="s">
        <v>32</v>
      </c>
      <c r="L111" t="s">
        <v>66</v>
      </c>
    </row>
    <row r="112" spans="1:12" ht="12.75">
      <c r="A112" s="15">
        <v>65153</v>
      </c>
      <c r="B112" s="15" t="s">
        <v>79</v>
      </c>
      <c r="C112" s="1">
        <v>89</v>
      </c>
      <c r="D112" s="1">
        <f>C112/3.7854</f>
        <v>23.51138585090083</v>
      </c>
      <c r="E112" s="6">
        <v>102350</v>
      </c>
      <c r="F112" t="s">
        <v>80</v>
      </c>
      <c r="G112" s="7">
        <f>E112/2000</f>
        <v>51.175</v>
      </c>
      <c r="H112" s="7">
        <f>G112/C112</f>
        <v>0.575</v>
      </c>
      <c r="I112" s="6">
        <v>497</v>
      </c>
      <c r="J112" s="1">
        <f>I112/D112</f>
        <v>21.13869438202247</v>
      </c>
      <c r="L112" s="14">
        <f>($J$306-J112)/$J$306</f>
        <v>0.026287563637868466</v>
      </c>
    </row>
    <row r="113" spans="1:12" ht="12.75">
      <c r="A113" s="15">
        <v>65373</v>
      </c>
      <c r="B113" s="15" t="s">
        <v>81</v>
      </c>
      <c r="C113" s="1">
        <v>37</v>
      </c>
      <c r="D113" s="1">
        <f>C113/3.7854</f>
        <v>9.774396364981243</v>
      </c>
      <c r="E113" s="6">
        <v>40744</v>
      </c>
      <c r="F113" t="s">
        <v>80</v>
      </c>
      <c r="G113" s="7">
        <f>E113/2000</f>
        <v>20.372</v>
      </c>
      <c r="H113" s="7">
        <f>G113/C113</f>
        <v>0.5505945945945946</v>
      </c>
      <c r="I113" s="6">
        <v>219</v>
      </c>
      <c r="J113" s="1">
        <f>I113/D113</f>
        <v>22.405475675675678</v>
      </c>
      <c r="L113" s="14">
        <f>($J$306-J113)/$J$306</f>
        <v>-0.03206422845909555</v>
      </c>
    </row>
    <row r="114" spans="1:12" ht="12.75">
      <c r="A114" s="15">
        <v>65825</v>
      </c>
      <c r="B114" s="15" t="s">
        <v>81</v>
      </c>
      <c r="C114" s="1">
        <v>72</v>
      </c>
      <c r="D114" s="1">
        <f aca="true" t="shared" si="19" ref="D114:D120">C114/3.7854</f>
        <v>19.02044698050404</v>
      </c>
      <c r="E114" s="6">
        <v>79000</v>
      </c>
      <c r="F114" t="s">
        <v>80</v>
      </c>
      <c r="G114" s="7">
        <f aca="true" t="shared" si="20" ref="G114:G120">E114/2000</f>
        <v>39.5</v>
      </c>
      <c r="H114" s="7">
        <f aca="true" t="shared" si="21" ref="H114:H120">G114/C114</f>
        <v>0.5486111111111112</v>
      </c>
      <c r="I114" s="6">
        <v>452</v>
      </c>
      <c r="J114" s="1">
        <f aca="true" t="shared" si="22" ref="J114:J120">I114/D114</f>
        <v>23.763900000000003</v>
      </c>
      <c r="L114" s="14"/>
    </row>
    <row r="115" spans="1:12" ht="12.75">
      <c r="A115" s="15">
        <v>66216</v>
      </c>
      <c r="B115" s="15" t="s">
        <v>82</v>
      </c>
      <c r="C115" s="5">
        <v>65</v>
      </c>
      <c r="D115" s="1">
        <f t="shared" si="19"/>
        <v>17.17123685739948</v>
      </c>
      <c r="E115" s="6">
        <v>70000</v>
      </c>
      <c r="F115" t="s">
        <v>80</v>
      </c>
      <c r="G115" s="7">
        <f t="shared" si="20"/>
        <v>35</v>
      </c>
      <c r="H115" s="7">
        <f t="shared" si="21"/>
        <v>0.5384615384615384</v>
      </c>
      <c r="I115" s="6">
        <v>390</v>
      </c>
      <c r="J115" s="1">
        <f t="shared" si="22"/>
        <v>22.712400000000002</v>
      </c>
      <c r="L115" s="14"/>
    </row>
    <row r="116" spans="1:12" ht="12.75">
      <c r="A116" s="15">
        <v>66629</v>
      </c>
      <c r="B116" s="15" t="s">
        <v>83</v>
      </c>
      <c r="C116" s="1">
        <v>69</v>
      </c>
      <c r="D116" s="1">
        <f t="shared" si="19"/>
        <v>18.227928356316372</v>
      </c>
      <c r="E116" s="6">
        <v>76000</v>
      </c>
      <c r="F116" t="s">
        <v>80</v>
      </c>
      <c r="G116" s="7">
        <f t="shared" si="20"/>
        <v>38</v>
      </c>
      <c r="H116" s="7">
        <f t="shared" si="21"/>
        <v>0.5507246376811594</v>
      </c>
      <c r="I116" s="16">
        <f>389+24</f>
        <v>413</v>
      </c>
      <c r="J116" s="1">
        <f t="shared" si="22"/>
        <v>22.657539130434785</v>
      </c>
      <c r="L116" s="14"/>
    </row>
    <row r="117" spans="1:12" ht="12.75">
      <c r="A117" s="15">
        <v>66770</v>
      </c>
      <c r="B117" s="15" t="s">
        <v>84</v>
      </c>
      <c r="C117" s="1">
        <v>24</v>
      </c>
      <c r="D117" s="1">
        <f t="shared" si="19"/>
        <v>6.340148993501347</v>
      </c>
      <c r="E117" s="6">
        <v>27600</v>
      </c>
      <c r="F117" t="s">
        <v>80</v>
      </c>
      <c r="G117" s="7">
        <f t="shared" si="20"/>
        <v>13.8</v>
      </c>
      <c r="H117" s="7">
        <f t="shared" si="21"/>
        <v>0.5750000000000001</v>
      </c>
      <c r="I117" s="6">
        <f>141</f>
        <v>141</v>
      </c>
      <c r="J117" s="1">
        <f t="shared" si="22"/>
        <v>22.239225</v>
      </c>
      <c r="L117" s="14"/>
    </row>
    <row r="118" spans="1:10" ht="12.75">
      <c r="A118">
        <v>67600</v>
      </c>
      <c r="B118" t="s">
        <v>85</v>
      </c>
      <c r="C118" s="1">
        <v>135</v>
      </c>
      <c r="D118" s="1">
        <f t="shared" si="19"/>
        <v>35.66333808844508</v>
      </c>
      <c r="E118" s="6">
        <v>160650</v>
      </c>
      <c r="F118" t="s">
        <v>80</v>
      </c>
      <c r="G118" s="7">
        <f t="shared" si="20"/>
        <v>80.325</v>
      </c>
      <c r="H118" s="7">
        <f t="shared" si="21"/>
        <v>0.595</v>
      </c>
      <c r="I118" s="6">
        <v>829</v>
      </c>
      <c r="J118" s="1">
        <f t="shared" si="22"/>
        <v>23.24516</v>
      </c>
    </row>
    <row r="119" spans="1:10" ht="12.75">
      <c r="A119">
        <v>67955</v>
      </c>
      <c r="B119" t="s">
        <v>87</v>
      </c>
      <c r="C119" s="1">
        <v>60</v>
      </c>
      <c r="D119" s="1">
        <f t="shared" si="19"/>
        <v>15.850372483753368</v>
      </c>
      <c r="E119" s="6">
        <v>78000</v>
      </c>
      <c r="F119" t="s">
        <v>80</v>
      </c>
      <c r="G119" s="7">
        <f t="shared" si="20"/>
        <v>39</v>
      </c>
      <c r="H119" s="7">
        <f t="shared" si="21"/>
        <v>0.65</v>
      </c>
      <c r="I119" s="6">
        <v>355</v>
      </c>
      <c r="J119" s="1">
        <f t="shared" si="22"/>
        <v>22.39695</v>
      </c>
    </row>
    <row r="120" spans="4:10" ht="12.75">
      <c r="D120" s="1">
        <f t="shared" si="19"/>
        <v>0</v>
      </c>
      <c r="G120" s="7">
        <f t="shared" si="20"/>
        <v>0</v>
      </c>
      <c r="H120" s="7" t="e">
        <f t="shared" si="21"/>
        <v>#DIV/0!</v>
      </c>
      <c r="J120" s="1" t="e">
        <f t="shared" si="22"/>
        <v>#DIV/0!</v>
      </c>
    </row>
    <row r="121" spans="4:10" ht="12.75">
      <c r="D121" s="1"/>
      <c r="G121" s="7"/>
      <c r="H121" s="7"/>
      <c r="J121" s="1"/>
    </row>
    <row r="122" spans="4:10" ht="12.75">
      <c r="D122" s="1"/>
      <c r="G122" s="7"/>
      <c r="H122" s="7"/>
      <c r="J122" s="1"/>
    </row>
    <row r="123" spans="1:12" ht="12.75">
      <c r="A123" s="9" t="s">
        <v>78</v>
      </c>
      <c r="B123" s="9"/>
      <c r="C123" s="10">
        <f>SUM(C112:C122)</f>
        <v>551</v>
      </c>
      <c r="D123" s="10">
        <f>SUM(D112:D122)</f>
        <v>145.55925397580177</v>
      </c>
      <c r="E123" s="12">
        <f>SUM(E112:E122)</f>
        <v>634344</v>
      </c>
      <c r="F123" s="9"/>
      <c r="G123" s="11">
        <f>SUM(G112:G122)</f>
        <v>317.172</v>
      </c>
      <c r="H123" s="11" t="e">
        <f>SUM(H112:H122)</f>
        <v>#DIV/0!</v>
      </c>
      <c r="I123" s="12">
        <f>SUM(I112:I122)</f>
        <v>3296</v>
      </c>
      <c r="J123" s="10">
        <f>I123/D123</f>
        <v>22.64369945553539</v>
      </c>
      <c r="L123" s="14">
        <f>($J$306-J123)/$J$306</f>
        <v>-0.043037538962315165</v>
      </c>
    </row>
    <row r="124" spans="1:12" ht="12.75">
      <c r="A124" s="9"/>
      <c r="B124" s="9"/>
      <c r="C124" s="10"/>
      <c r="D124" s="10"/>
      <c r="E124" s="12"/>
      <c r="F124" s="9"/>
      <c r="G124" s="11"/>
      <c r="H124" s="11"/>
      <c r="I124" s="12"/>
      <c r="J124" s="10"/>
      <c r="L124" s="14"/>
    </row>
    <row r="125" ht="12.75">
      <c r="A125" s="9" t="s">
        <v>31</v>
      </c>
    </row>
    <row r="126" spans="1:12" ht="12.75">
      <c r="A126" t="s">
        <v>12</v>
      </c>
      <c r="B126" t="s">
        <v>13</v>
      </c>
      <c r="C126" s="5" t="s">
        <v>15</v>
      </c>
      <c r="D126" t="s">
        <v>21</v>
      </c>
      <c r="E126" s="6" t="s">
        <v>16</v>
      </c>
      <c r="F126" t="s">
        <v>18</v>
      </c>
      <c r="G126" s="3" t="s">
        <v>19</v>
      </c>
      <c r="H126" t="s">
        <v>26</v>
      </c>
      <c r="I126" s="6" t="s">
        <v>20</v>
      </c>
      <c r="J126" t="s">
        <v>3</v>
      </c>
      <c r="K126" t="s">
        <v>32</v>
      </c>
      <c r="L126" t="s">
        <v>66</v>
      </c>
    </row>
    <row r="127" spans="1:12" ht="12.75">
      <c r="A127" s="15">
        <v>68258</v>
      </c>
      <c r="B127" s="15" t="s">
        <v>88</v>
      </c>
      <c r="C127" s="1">
        <v>47</v>
      </c>
      <c r="D127" s="1">
        <f>C127/3.7854</f>
        <v>12.416125112273471</v>
      </c>
      <c r="E127" s="6">
        <v>94000</v>
      </c>
      <c r="F127" t="s">
        <v>80</v>
      </c>
      <c r="G127" s="7">
        <f>E127/3000</f>
        <v>31.333333333333332</v>
      </c>
      <c r="H127" s="7">
        <f>G127/C127</f>
        <v>0.6666666666666666</v>
      </c>
      <c r="I127" s="6">
        <v>303</v>
      </c>
      <c r="J127" s="1">
        <f>I127/D127</f>
        <v>24.403748936170214</v>
      </c>
      <c r="L127" s="14">
        <f>($J$306-J127)/$J$306</f>
        <v>-0.12411076122169623</v>
      </c>
    </row>
    <row r="128" spans="1:12" ht="12.75">
      <c r="A128" s="15">
        <v>68761</v>
      </c>
      <c r="B128" s="15" t="s">
        <v>89</v>
      </c>
      <c r="C128" s="1">
        <v>84</v>
      </c>
      <c r="D128" s="1">
        <f>C128/3.7854</f>
        <v>22.190521477254716</v>
      </c>
      <c r="E128" s="6">
        <v>164000</v>
      </c>
      <c r="F128" t="s">
        <v>80</v>
      </c>
      <c r="G128" s="7">
        <f aca="true" t="shared" si="23" ref="G128:G135">E128/3000</f>
        <v>54.666666666666664</v>
      </c>
      <c r="H128" s="7">
        <f>G128/C128</f>
        <v>0.6507936507936508</v>
      </c>
      <c r="I128" s="6">
        <v>502</v>
      </c>
      <c r="J128" s="1">
        <f>I128/D128</f>
        <v>22.622271428571427</v>
      </c>
      <c r="L128" s="14">
        <f>($J$306-J128)/$J$306</f>
        <v>-0.042050498988869166</v>
      </c>
    </row>
    <row r="129" spans="1:12" ht="12.75">
      <c r="A129" s="15">
        <v>69300</v>
      </c>
      <c r="B129" s="15" t="s">
        <v>91</v>
      </c>
      <c r="C129" s="1">
        <v>53</v>
      </c>
      <c r="D129" s="1">
        <f aca="true" t="shared" si="24" ref="D129:D135">C129/3.7854</f>
        <v>14.001162360648808</v>
      </c>
      <c r="E129" s="6">
        <v>95000</v>
      </c>
      <c r="F129" t="s">
        <v>80</v>
      </c>
      <c r="G129" s="7">
        <f t="shared" si="23"/>
        <v>31.666666666666668</v>
      </c>
      <c r="H129" s="7">
        <f aca="true" t="shared" si="25" ref="H129:H135">G129/C129</f>
        <v>0.5974842767295597</v>
      </c>
      <c r="I129" s="6">
        <v>539</v>
      </c>
      <c r="J129" s="1">
        <f aca="true" t="shared" si="26" ref="J129:J135">I129/D129</f>
        <v>38.49680377358491</v>
      </c>
      <c r="K129" t="s">
        <v>92</v>
      </c>
      <c r="L129" s="14"/>
    </row>
    <row r="130" spans="1:12" ht="12.75">
      <c r="A130" s="15"/>
      <c r="B130" s="15"/>
      <c r="C130" s="5"/>
      <c r="D130" s="1">
        <f t="shared" si="24"/>
        <v>0</v>
      </c>
      <c r="F130" t="s">
        <v>80</v>
      </c>
      <c r="G130" s="7">
        <f t="shared" si="23"/>
        <v>0</v>
      </c>
      <c r="H130" s="7" t="e">
        <f t="shared" si="25"/>
        <v>#DIV/0!</v>
      </c>
      <c r="J130" s="1" t="e">
        <f t="shared" si="26"/>
        <v>#DIV/0!</v>
      </c>
      <c r="L130" s="14"/>
    </row>
    <row r="131" spans="1:12" ht="12.75">
      <c r="A131" s="15"/>
      <c r="B131" s="15"/>
      <c r="D131" s="1">
        <f t="shared" si="24"/>
        <v>0</v>
      </c>
      <c r="F131" t="s">
        <v>80</v>
      </c>
      <c r="G131" s="7">
        <f t="shared" si="23"/>
        <v>0</v>
      </c>
      <c r="H131" s="7" t="e">
        <f t="shared" si="25"/>
        <v>#DIV/0!</v>
      </c>
      <c r="I131" s="16"/>
      <c r="J131" s="1" t="e">
        <f t="shared" si="26"/>
        <v>#DIV/0!</v>
      </c>
      <c r="L131" s="14"/>
    </row>
    <row r="132" spans="1:12" ht="12.75">
      <c r="A132" s="15"/>
      <c r="B132" s="15"/>
      <c r="D132" s="1">
        <f t="shared" si="24"/>
        <v>0</v>
      </c>
      <c r="F132" t="s">
        <v>80</v>
      </c>
      <c r="G132" s="7">
        <f t="shared" si="23"/>
        <v>0</v>
      </c>
      <c r="H132" s="7" t="e">
        <f t="shared" si="25"/>
        <v>#DIV/0!</v>
      </c>
      <c r="J132" s="1" t="e">
        <f t="shared" si="26"/>
        <v>#DIV/0!</v>
      </c>
      <c r="L132" s="14"/>
    </row>
    <row r="133" spans="4:10" ht="12.75">
      <c r="D133" s="1">
        <f t="shared" si="24"/>
        <v>0</v>
      </c>
      <c r="F133" t="s">
        <v>80</v>
      </c>
      <c r="G133" s="7">
        <f t="shared" si="23"/>
        <v>0</v>
      </c>
      <c r="H133" s="7" t="e">
        <f t="shared" si="25"/>
        <v>#DIV/0!</v>
      </c>
      <c r="J133" s="1" t="e">
        <f t="shared" si="26"/>
        <v>#DIV/0!</v>
      </c>
    </row>
    <row r="134" spans="4:10" ht="12.75">
      <c r="D134" s="1">
        <f t="shared" si="24"/>
        <v>0</v>
      </c>
      <c r="G134" s="7">
        <f t="shared" si="23"/>
        <v>0</v>
      </c>
      <c r="H134" s="7" t="e">
        <f t="shared" si="25"/>
        <v>#DIV/0!</v>
      </c>
      <c r="J134" s="1" t="e">
        <f t="shared" si="26"/>
        <v>#DIV/0!</v>
      </c>
    </row>
    <row r="135" spans="4:10" ht="12.75">
      <c r="D135" s="1">
        <f t="shared" si="24"/>
        <v>0</v>
      </c>
      <c r="G135" s="7">
        <f t="shared" si="23"/>
        <v>0</v>
      </c>
      <c r="H135" s="7" t="e">
        <f t="shared" si="25"/>
        <v>#DIV/0!</v>
      </c>
      <c r="J135" s="1" t="e">
        <f t="shared" si="26"/>
        <v>#DIV/0!</v>
      </c>
    </row>
    <row r="136" spans="4:10" ht="12.75">
      <c r="D136" s="1"/>
      <c r="G136" s="7"/>
      <c r="H136" s="7"/>
      <c r="J136" s="1"/>
    </row>
    <row r="137" spans="4:10" ht="12.75">
      <c r="D137" s="1"/>
      <c r="G137" s="7"/>
      <c r="H137" s="7"/>
      <c r="J137" s="1"/>
    </row>
    <row r="138" spans="1:12" ht="12.75">
      <c r="A138" s="9" t="s">
        <v>86</v>
      </c>
      <c r="B138" s="9"/>
      <c r="C138" s="10">
        <f>SUM(C127:C137)</f>
        <v>184</v>
      </c>
      <c r="D138" s="10">
        <f>SUM(D127:D137)</f>
        <v>48.607808950176995</v>
      </c>
      <c r="E138" s="12">
        <f>SUM(E127:E137)</f>
        <v>353000</v>
      </c>
      <c r="F138" s="9"/>
      <c r="G138" s="11">
        <f>SUM(G127:G137)</f>
        <v>117.66666666666667</v>
      </c>
      <c r="H138" s="11" t="e">
        <f>SUM(H127:H137)</f>
        <v>#DIV/0!</v>
      </c>
      <c r="I138" s="12">
        <f>SUM(I127:I137)</f>
        <v>1344</v>
      </c>
      <c r="J138" s="10">
        <f>I138/D138</f>
        <v>27.649878260869567</v>
      </c>
      <c r="L138" s="14">
        <f>($J$306-J138)/$J$306</f>
        <v>-0.2736373325594079</v>
      </c>
    </row>
    <row r="139" spans="1:12" ht="12.75">
      <c r="A139" s="9"/>
      <c r="B139" s="9"/>
      <c r="C139" s="10"/>
      <c r="D139" s="10"/>
      <c r="E139" s="12"/>
      <c r="F139" s="9"/>
      <c r="G139" s="11"/>
      <c r="H139" s="11"/>
      <c r="I139" s="12"/>
      <c r="J139" s="10"/>
      <c r="L139" s="14"/>
    </row>
    <row r="140" ht="12.75">
      <c r="A140" s="9" t="s">
        <v>31</v>
      </c>
    </row>
    <row r="141" spans="1:12" ht="12.75">
      <c r="A141" t="s">
        <v>12</v>
      </c>
      <c r="B141" t="s">
        <v>13</v>
      </c>
      <c r="C141" s="5" t="s">
        <v>15</v>
      </c>
      <c r="D141" t="s">
        <v>21</v>
      </c>
      <c r="E141" s="6" t="s">
        <v>16</v>
      </c>
      <c r="F141" t="s">
        <v>18</v>
      </c>
      <c r="G141" s="3" t="s">
        <v>19</v>
      </c>
      <c r="H141" t="s">
        <v>26</v>
      </c>
      <c r="I141" s="6" t="s">
        <v>20</v>
      </c>
      <c r="J141" t="s">
        <v>3</v>
      </c>
      <c r="K141" t="s">
        <v>32</v>
      </c>
      <c r="L141" t="s">
        <v>66</v>
      </c>
    </row>
    <row r="142" spans="1:12" ht="12.75">
      <c r="A142" s="15">
        <v>69698</v>
      </c>
      <c r="B142" s="15" t="s">
        <v>113</v>
      </c>
      <c r="C142" s="1">
        <v>101</v>
      </c>
      <c r="D142" s="1">
        <f>C142/3.7854</f>
        <v>26.6814603476515</v>
      </c>
      <c r="E142" s="6">
        <v>6150</v>
      </c>
      <c r="F142" t="s">
        <v>80</v>
      </c>
      <c r="G142" s="7">
        <f>E142/120</f>
        <v>51.25</v>
      </c>
      <c r="H142" s="7">
        <f>G142/C142</f>
        <v>0.5074257425742574</v>
      </c>
      <c r="I142" s="6">
        <v>397</v>
      </c>
      <c r="J142" s="1">
        <f>I142/D142</f>
        <v>14.879245544554456</v>
      </c>
      <c r="K142" t="s">
        <v>114</v>
      </c>
      <c r="L142" s="14">
        <f>($J$306-J142)/$J$306</f>
        <v>0.3146167796086779</v>
      </c>
    </row>
    <row r="143" spans="1:12" ht="12.75">
      <c r="A143" s="15">
        <v>69883</v>
      </c>
      <c r="B143" s="15" t="s">
        <v>112</v>
      </c>
      <c r="C143" s="1">
        <v>29</v>
      </c>
      <c r="D143" s="1">
        <f>C143/3.7854</f>
        <v>7.661013367147461</v>
      </c>
      <c r="E143" s="6">
        <v>1817</v>
      </c>
      <c r="F143" t="s">
        <v>80</v>
      </c>
      <c r="G143" s="7">
        <f aca="true" t="shared" si="27" ref="G143:G150">E143/120</f>
        <v>15.141666666666667</v>
      </c>
      <c r="H143" s="7">
        <f>G143/C143</f>
        <v>0.5221264367816092</v>
      </c>
      <c r="I143" s="6">
        <v>185</v>
      </c>
      <c r="J143" s="1">
        <f>I143/D143</f>
        <v>24.148241379310345</v>
      </c>
      <c r="L143" s="14">
        <f>($J$306-J143)/$J$306</f>
        <v>-0.11234130747953211</v>
      </c>
    </row>
    <row r="144" spans="1:12" ht="12.75">
      <c r="A144" s="15">
        <v>70275</v>
      </c>
      <c r="B144" s="15" t="s">
        <v>112</v>
      </c>
      <c r="C144" s="1">
        <v>69</v>
      </c>
      <c r="D144" s="1">
        <f aca="true" t="shared" si="28" ref="D144:D150">C144/3.7854</f>
        <v>18.227928356316372</v>
      </c>
      <c r="E144" s="6">
        <v>4300</v>
      </c>
      <c r="F144" t="s">
        <v>80</v>
      </c>
      <c r="G144" s="7">
        <f t="shared" si="27"/>
        <v>35.833333333333336</v>
      </c>
      <c r="H144" s="7">
        <f aca="true" t="shared" si="29" ref="H144:H150">G144/C144</f>
        <v>0.5193236714975846</v>
      </c>
      <c r="I144" s="6">
        <v>392</v>
      </c>
      <c r="J144" s="1">
        <f aca="true" t="shared" si="30" ref="J144:J150">I144/D144</f>
        <v>21.50546086956522</v>
      </c>
      <c r="L144" s="14">
        <f>($J$306-J144)/$J$306</f>
        <v>0.009393185787127159</v>
      </c>
    </row>
    <row r="145" spans="1:12" ht="12.75">
      <c r="A145" s="15">
        <v>70528</v>
      </c>
      <c r="B145" s="15" t="s">
        <v>115</v>
      </c>
      <c r="C145" s="5">
        <v>53</v>
      </c>
      <c r="D145" s="1">
        <f t="shared" si="28"/>
        <v>14.001162360648808</v>
      </c>
      <c r="E145" s="6">
        <v>3350</v>
      </c>
      <c r="F145" t="s">
        <v>80</v>
      </c>
      <c r="G145" s="7">
        <f t="shared" si="27"/>
        <v>27.916666666666668</v>
      </c>
      <c r="H145" s="7">
        <f t="shared" si="29"/>
        <v>0.5267295597484277</v>
      </c>
      <c r="I145" s="6">
        <v>252</v>
      </c>
      <c r="J145" s="1">
        <f t="shared" si="30"/>
        <v>17.99850566037736</v>
      </c>
      <c r="K145" t="s">
        <v>116</v>
      </c>
      <c r="L145" s="14">
        <f>($J$306-J145)/$J$306</f>
        <v>0.17093418918302683</v>
      </c>
    </row>
    <row r="146" spans="1:12" ht="12.75">
      <c r="A146" s="15">
        <v>70903</v>
      </c>
      <c r="B146" s="15" t="s">
        <v>117</v>
      </c>
      <c r="C146" s="1">
        <v>62</v>
      </c>
      <c r="D146" s="1">
        <f t="shared" si="28"/>
        <v>16.378718233211814</v>
      </c>
      <c r="E146" s="6">
        <v>4300</v>
      </c>
      <c r="F146" t="s">
        <v>80</v>
      </c>
      <c r="G146" s="7">
        <f t="shared" si="27"/>
        <v>35.833333333333336</v>
      </c>
      <c r="H146" s="7">
        <f t="shared" si="29"/>
        <v>0.5779569892473119</v>
      </c>
      <c r="I146" s="16">
        <v>375</v>
      </c>
      <c r="J146" s="1">
        <f t="shared" si="30"/>
        <v>22.89556451612903</v>
      </c>
      <c r="L146" s="14">
        <f>($J$306-J146)/$J$306</f>
        <v>-0.05463920826851883</v>
      </c>
    </row>
    <row r="147" spans="1:12" ht="12.75">
      <c r="A147" s="15"/>
      <c r="B147" s="15"/>
      <c r="D147" s="1">
        <f t="shared" si="28"/>
        <v>0</v>
      </c>
      <c r="F147" t="s">
        <v>80</v>
      </c>
      <c r="G147" s="7">
        <f t="shared" si="27"/>
        <v>0</v>
      </c>
      <c r="H147" s="7" t="e">
        <f t="shared" si="29"/>
        <v>#DIV/0!</v>
      </c>
      <c r="J147" s="1" t="e">
        <f t="shared" si="30"/>
        <v>#DIV/0!</v>
      </c>
      <c r="L147" s="14"/>
    </row>
    <row r="148" spans="4:10" ht="12.75">
      <c r="D148" s="1">
        <f t="shared" si="28"/>
        <v>0</v>
      </c>
      <c r="F148" t="s">
        <v>80</v>
      </c>
      <c r="G148" s="7">
        <f t="shared" si="27"/>
        <v>0</v>
      </c>
      <c r="H148" s="7" t="e">
        <f t="shared" si="29"/>
        <v>#DIV/0!</v>
      </c>
      <c r="J148" s="1" t="e">
        <f t="shared" si="30"/>
        <v>#DIV/0!</v>
      </c>
    </row>
    <row r="149" spans="4:10" ht="12.75">
      <c r="D149" s="1">
        <f t="shared" si="28"/>
        <v>0</v>
      </c>
      <c r="G149" s="7">
        <f t="shared" si="27"/>
        <v>0</v>
      </c>
      <c r="H149" s="7" t="e">
        <f t="shared" si="29"/>
        <v>#DIV/0!</v>
      </c>
      <c r="J149" s="1" t="e">
        <f t="shared" si="30"/>
        <v>#DIV/0!</v>
      </c>
    </row>
    <row r="150" spans="4:10" ht="12.75">
      <c r="D150" s="1">
        <f t="shared" si="28"/>
        <v>0</v>
      </c>
      <c r="G150" s="7">
        <f t="shared" si="27"/>
        <v>0</v>
      </c>
      <c r="H150" s="7" t="e">
        <f t="shared" si="29"/>
        <v>#DIV/0!</v>
      </c>
      <c r="J150" s="1" t="e">
        <f t="shared" si="30"/>
        <v>#DIV/0!</v>
      </c>
    </row>
    <row r="151" spans="4:10" ht="12.75">
      <c r="D151" s="1"/>
      <c r="G151" s="7"/>
      <c r="H151" s="7"/>
      <c r="J151" s="1"/>
    </row>
    <row r="152" spans="4:10" ht="12.75">
      <c r="D152" s="1"/>
      <c r="G152" s="7"/>
      <c r="H152" s="7"/>
      <c r="J152" s="1"/>
    </row>
    <row r="153" spans="1:12" ht="12.75">
      <c r="A153" s="9" t="s">
        <v>90</v>
      </c>
      <c r="B153" s="9"/>
      <c r="C153" s="10">
        <f>SUM(C142:C152)</f>
        <v>314</v>
      </c>
      <c r="D153" s="10">
        <f>SUM(D142:D152)</f>
        <v>82.95028266497596</v>
      </c>
      <c r="E153" s="12">
        <f>SUM(E142:E152)</f>
        <v>19917</v>
      </c>
      <c r="F153" s="9"/>
      <c r="G153" s="11">
        <f>SUM(G142:G152)</f>
        <v>165.975</v>
      </c>
      <c r="H153" s="11" t="e">
        <f>SUM(H142:H152)</f>
        <v>#DIV/0!</v>
      </c>
      <c r="I153" s="12">
        <f>SUM(I142:I152)</f>
        <v>1601</v>
      </c>
      <c r="J153" s="10">
        <f>I153/D153</f>
        <v>19.300717834394906</v>
      </c>
      <c r="L153" s="14">
        <f>($J$306-J153)/$J$306</f>
        <v>0.11095034317494924</v>
      </c>
    </row>
    <row r="154" spans="1:12" ht="12.75">
      <c r="A154" s="9"/>
      <c r="B154" s="9"/>
      <c r="C154" s="10"/>
      <c r="D154" s="10"/>
      <c r="E154" s="12"/>
      <c r="F154" s="9"/>
      <c r="G154" s="11"/>
      <c r="H154" s="11"/>
      <c r="I154" s="12"/>
      <c r="J154" s="10"/>
      <c r="L154" s="14"/>
    </row>
    <row r="155" ht="12.75">
      <c r="A155" s="9" t="s">
        <v>31</v>
      </c>
    </row>
    <row r="156" spans="1:12" ht="12.75">
      <c r="A156" t="s">
        <v>12</v>
      </c>
      <c r="B156" t="s">
        <v>13</v>
      </c>
      <c r="C156" s="5" t="s">
        <v>15</v>
      </c>
      <c r="D156" t="s">
        <v>21</v>
      </c>
      <c r="E156" s="6" t="s">
        <v>16</v>
      </c>
      <c r="F156" t="s">
        <v>18</v>
      </c>
      <c r="G156" s="3" t="s">
        <v>19</v>
      </c>
      <c r="H156" t="s">
        <v>26</v>
      </c>
      <c r="I156" s="6" t="s">
        <v>20</v>
      </c>
      <c r="J156" t="s">
        <v>3</v>
      </c>
      <c r="K156" t="s">
        <v>32</v>
      </c>
      <c r="L156" t="s">
        <v>66</v>
      </c>
    </row>
    <row r="157" spans="1:12" ht="12.75">
      <c r="A157" s="15">
        <v>71068</v>
      </c>
      <c r="B157" s="15" t="s">
        <v>120</v>
      </c>
      <c r="C157" s="1">
        <v>27</v>
      </c>
      <c r="D157" s="1">
        <f>C157/3.7854</f>
        <v>7.132667617689015</v>
      </c>
      <c r="E157" s="6">
        <v>126</v>
      </c>
      <c r="F157" t="s">
        <v>118</v>
      </c>
      <c r="G157" s="7">
        <f>E157/10</f>
        <v>12.6</v>
      </c>
      <c r="H157" s="7">
        <f>G157/C157</f>
        <v>0.4666666666666667</v>
      </c>
      <c r="I157" s="6">
        <v>166</v>
      </c>
      <c r="J157" s="1">
        <f>I157/D157</f>
        <v>23.273200000000003</v>
      </c>
      <c r="L157" s="14">
        <f>($J$306-J157)/$J$306</f>
        <v>-0.07203424508638</v>
      </c>
    </row>
    <row r="158" spans="1:12" ht="12.75">
      <c r="A158" s="15">
        <v>71766</v>
      </c>
      <c r="B158" s="15" t="s">
        <v>121</v>
      </c>
      <c r="C158" s="1">
        <v>113</v>
      </c>
      <c r="D158" s="1">
        <f>C158/3.7854</f>
        <v>29.851534844402178</v>
      </c>
      <c r="E158" s="6">
        <v>500</v>
      </c>
      <c r="F158" t="s">
        <v>118</v>
      </c>
      <c r="G158" s="7">
        <f aca="true" t="shared" si="31" ref="G158:G165">E158/10</f>
        <v>50</v>
      </c>
      <c r="H158" s="7">
        <f>G158/C158</f>
        <v>0.4424778761061947</v>
      </c>
      <c r="I158" s="6">
        <v>698</v>
      </c>
      <c r="J158" s="1">
        <f>I158/D158</f>
        <v>23.382382300884956</v>
      </c>
      <c r="L158" s="14">
        <f>($J$306-J158)/$J$306</f>
        <v>-0.07706351332220467</v>
      </c>
    </row>
    <row r="159" spans="1:12" ht="12.75">
      <c r="A159" s="15">
        <v>72104</v>
      </c>
      <c r="B159" s="15" t="s">
        <v>123</v>
      </c>
      <c r="C159" s="1">
        <v>68</v>
      </c>
      <c r="D159" s="1">
        <f aca="true" t="shared" si="32" ref="D159:D165">C159/3.7854</f>
        <v>17.96375548158715</v>
      </c>
      <c r="E159" s="6">
        <v>294</v>
      </c>
      <c r="F159" t="s">
        <v>118</v>
      </c>
      <c r="G159" s="7">
        <f t="shared" si="31"/>
        <v>29.4</v>
      </c>
      <c r="H159" s="7">
        <f aca="true" t="shared" si="33" ref="H159:H165">G159/C159</f>
        <v>0.43235294117647055</v>
      </c>
      <c r="I159" s="6">
        <v>337</v>
      </c>
      <c r="J159" s="1">
        <f aca="true" t="shared" si="34" ref="J159:J165">I159/D159</f>
        <v>18.75999705882353</v>
      </c>
      <c r="L159" s="14"/>
    </row>
    <row r="160" spans="1:12" ht="12.75">
      <c r="A160" s="15">
        <v>72461</v>
      </c>
      <c r="B160" s="15" t="s">
        <v>124</v>
      </c>
      <c r="C160" s="5">
        <v>54</v>
      </c>
      <c r="D160" s="1">
        <f t="shared" si="32"/>
        <v>14.26533523537803</v>
      </c>
      <c r="E160" s="6">
        <v>235</v>
      </c>
      <c r="F160" t="s">
        <v>118</v>
      </c>
      <c r="G160" s="7">
        <f t="shared" si="31"/>
        <v>23.5</v>
      </c>
      <c r="H160" s="7">
        <f t="shared" si="33"/>
        <v>0.4351851851851852</v>
      </c>
      <c r="I160" s="6">
        <v>356</v>
      </c>
      <c r="J160" s="1">
        <f t="shared" si="34"/>
        <v>24.9556</v>
      </c>
      <c r="L160" s="14"/>
    </row>
    <row r="161" spans="1:12" ht="12.75">
      <c r="A161" s="15">
        <v>73003</v>
      </c>
      <c r="B161" s="15" t="s">
        <v>126</v>
      </c>
      <c r="C161" s="1">
        <v>97</v>
      </c>
      <c r="D161" s="1">
        <f t="shared" si="32"/>
        <v>25.62476884873461</v>
      </c>
      <c r="E161" s="6">
        <v>420</v>
      </c>
      <c r="F161" t="s">
        <v>118</v>
      </c>
      <c r="G161" s="7">
        <f t="shared" si="31"/>
        <v>42</v>
      </c>
      <c r="H161" s="7">
        <f t="shared" si="33"/>
        <v>0.4329896907216495</v>
      </c>
      <c r="I161" s="16">
        <v>542</v>
      </c>
      <c r="J161" s="1">
        <f t="shared" si="34"/>
        <v>21.15141030927835</v>
      </c>
      <c r="L161" s="14"/>
    </row>
    <row r="162" spans="1:12" ht="12.75">
      <c r="A162" s="15"/>
      <c r="B162" s="15"/>
      <c r="D162" s="1">
        <f t="shared" si="32"/>
        <v>0</v>
      </c>
      <c r="F162" t="s">
        <v>118</v>
      </c>
      <c r="G162" s="7">
        <f t="shared" si="31"/>
        <v>0</v>
      </c>
      <c r="H162" s="7" t="e">
        <f t="shared" si="33"/>
        <v>#DIV/0!</v>
      </c>
      <c r="J162" s="1" t="e">
        <f t="shared" si="34"/>
        <v>#DIV/0!</v>
      </c>
      <c r="L162" s="14"/>
    </row>
    <row r="163" spans="4:10" ht="12.75">
      <c r="D163" s="1">
        <f t="shared" si="32"/>
        <v>0</v>
      </c>
      <c r="F163" t="s">
        <v>118</v>
      </c>
      <c r="G163" s="7">
        <f t="shared" si="31"/>
        <v>0</v>
      </c>
      <c r="H163" s="7" t="e">
        <f t="shared" si="33"/>
        <v>#DIV/0!</v>
      </c>
      <c r="J163" s="1" t="e">
        <f t="shared" si="34"/>
        <v>#DIV/0!</v>
      </c>
    </row>
    <row r="164" spans="4:10" ht="12.75">
      <c r="D164" s="1">
        <f t="shared" si="32"/>
        <v>0</v>
      </c>
      <c r="G164" s="7">
        <f t="shared" si="31"/>
        <v>0</v>
      </c>
      <c r="H164" s="7" t="e">
        <f t="shared" si="33"/>
        <v>#DIV/0!</v>
      </c>
      <c r="J164" s="1" t="e">
        <f t="shared" si="34"/>
        <v>#DIV/0!</v>
      </c>
    </row>
    <row r="165" spans="4:10" ht="12.75">
      <c r="D165" s="1">
        <f t="shared" si="32"/>
        <v>0</v>
      </c>
      <c r="G165" s="7">
        <f t="shared" si="31"/>
        <v>0</v>
      </c>
      <c r="H165" s="7" t="e">
        <f t="shared" si="33"/>
        <v>#DIV/0!</v>
      </c>
      <c r="J165" s="1" t="e">
        <f t="shared" si="34"/>
        <v>#DIV/0!</v>
      </c>
    </row>
    <row r="166" spans="4:10" ht="12.75">
      <c r="D166" s="1"/>
      <c r="G166" s="7"/>
      <c r="H166" s="7"/>
      <c r="J166" s="1"/>
    </row>
    <row r="167" spans="4:10" ht="12.75">
      <c r="D167" s="1"/>
      <c r="G167" s="7"/>
      <c r="H167" s="7"/>
      <c r="J167" s="1"/>
    </row>
    <row r="168" spans="1:12" ht="12.75">
      <c r="A168" s="9" t="s">
        <v>119</v>
      </c>
      <c r="B168" s="9"/>
      <c r="C168" s="10">
        <f>SUM(C157:C167)</f>
        <v>359</v>
      </c>
      <c r="D168" s="10">
        <f>SUM(D157:D167)</f>
        <v>94.83806202779098</v>
      </c>
      <c r="E168" s="12">
        <f>SUM(E157:E167)</f>
        <v>1575</v>
      </c>
      <c r="F168" s="9"/>
      <c r="G168" s="11">
        <f>SUM(G157:G167)</f>
        <v>157.5</v>
      </c>
      <c r="H168" s="11" t="e">
        <f>SUM(H157:H167)</f>
        <v>#DIV/0!</v>
      </c>
      <c r="I168" s="12">
        <f>SUM(I157:I167)</f>
        <v>2099</v>
      </c>
      <c r="J168" s="10">
        <f>I168/D168</f>
        <v>22.132464066852368</v>
      </c>
      <c r="L168" s="14">
        <f>($J$306-J168)/$J$306</f>
        <v>-0.019488484944464323</v>
      </c>
    </row>
    <row r="169" spans="1:12" ht="12.75">
      <c r="A169" s="9"/>
      <c r="B169" s="9"/>
      <c r="C169" s="10"/>
      <c r="D169" s="10"/>
      <c r="E169" s="12"/>
      <c r="F169" s="9"/>
      <c r="G169" s="11"/>
      <c r="H169" s="11"/>
      <c r="I169" s="12"/>
      <c r="J169" s="10"/>
      <c r="L169" s="14"/>
    </row>
    <row r="170" ht="12.75">
      <c r="A170" s="9" t="s">
        <v>31</v>
      </c>
    </row>
    <row r="171" spans="1:12" ht="12.75">
      <c r="A171" t="s">
        <v>12</v>
      </c>
      <c r="B171" t="s">
        <v>13</v>
      </c>
      <c r="C171" s="5" t="s">
        <v>15</v>
      </c>
      <c r="D171" t="s">
        <v>21</v>
      </c>
      <c r="E171" s="6" t="s">
        <v>16</v>
      </c>
      <c r="F171" t="s">
        <v>18</v>
      </c>
      <c r="G171" s="3" t="s">
        <v>19</v>
      </c>
      <c r="H171" t="s">
        <v>26</v>
      </c>
      <c r="I171" s="6" t="s">
        <v>20</v>
      </c>
      <c r="J171" t="s">
        <v>3</v>
      </c>
      <c r="K171" t="s">
        <v>32</v>
      </c>
      <c r="L171" t="s">
        <v>66</v>
      </c>
    </row>
    <row r="172" spans="1:12" ht="12.75">
      <c r="A172" s="15">
        <v>73270</v>
      </c>
      <c r="B172" s="15" t="s">
        <v>128</v>
      </c>
      <c r="C172" s="1">
        <v>43</v>
      </c>
      <c r="D172" s="1">
        <f>C172/3.7854</f>
        <v>11.35943361335658</v>
      </c>
      <c r="E172" s="6">
        <v>3900</v>
      </c>
      <c r="F172" t="s">
        <v>129</v>
      </c>
      <c r="G172" s="7">
        <f>E172/390</f>
        <v>10</v>
      </c>
      <c r="H172" s="7">
        <f>G172/C172</f>
        <v>0.23255813953488372</v>
      </c>
      <c r="I172" s="6">
        <v>267</v>
      </c>
      <c r="J172" s="1">
        <f>I172/D172</f>
        <v>23.504693023255815</v>
      </c>
      <c r="L172" s="14">
        <f>($J$306-J172)/$J$306</f>
        <v>-0.08269751650710462</v>
      </c>
    </row>
    <row r="173" spans="1:12" ht="12.75">
      <c r="A173" s="15">
        <v>73738</v>
      </c>
      <c r="B173" s="15" t="s">
        <v>130</v>
      </c>
      <c r="C173" s="1">
        <v>84</v>
      </c>
      <c r="D173" s="1">
        <f>C173/3.7854</f>
        <v>22.190521477254716</v>
      </c>
      <c r="E173" s="6">
        <v>6400</v>
      </c>
      <c r="F173" t="s">
        <v>129</v>
      </c>
      <c r="G173" s="7">
        <f aca="true" t="shared" si="35" ref="G173:G180">E173/390</f>
        <v>16.41025641025641</v>
      </c>
      <c r="H173" s="7">
        <f>G173/C173</f>
        <v>0.19536019536019533</v>
      </c>
      <c r="I173" s="6">
        <v>467</v>
      </c>
      <c r="J173" s="1">
        <f>I173/D173</f>
        <v>21.045021428571427</v>
      </c>
      <c r="L173" s="14">
        <f>($J$306-J173)/$J$306</f>
        <v>0.03060242424740655</v>
      </c>
    </row>
    <row r="174" spans="1:12" ht="12.75">
      <c r="A174" s="15">
        <v>74003</v>
      </c>
      <c r="B174" s="15" t="s">
        <v>131</v>
      </c>
      <c r="C174" s="1">
        <v>47</v>
      </c>
      <c r="D174" s="1">
        <f aca="true" t="shared" si="36" ref="D174:D180">C174/3.7854</f>
        <v>12.416125112273471</v>
      </c>
      <c r="E174" s="6">
        <v>3740</v>
      </c>
      <c r="F174" t="s">
        <v>129</v>
      </c>
      <c r="G174" s="7">
        <f t="shared" si="35"/>
        <v>9.58974358974359</v>
      </c>
      <c r="H174" s="7">
        <f aca="true" t="shared" si="37" ref="H174:H180">G174/C174</f>
        <v>0.20403709765411893</v>
      </c>
      <c r="I174" s="6">
        <v>265</v>
      </c>
      <c r="J174" s="1">
        <f aca="true" t="shared" si="38" ref="J174:J180">I174/D174</f>
        <v>21.343212765957446</v>
      </c>
      <c r="L174" s="14"/>
    </row>
    <row r="175" spans="1:12" ht="12.75">
      <c r="A175" s="15">
        <v>74250</v>
      </c>
      <c r="B175" s="15" t="s">
        <v>132</v>
      </c>
      <c r="C175" s="5">
        <v>40</v>
      </c>
      <c r="D175" s="1">
        <f t="shared" si="36"/>
        <v>10.566914989168913</v>
      </c>
      <c r="E175" s="6">
        <v>3500</v>
      </c>
      <c r="F175" t="s">
        <v>129</v>
      </c>
      <c r="G175" s="7">
        <f t="shared" si="35"/>
        <v>8.974358974358974</v>
      </c>
      <c r="H175" s="7">
        <f t="shared" si="37"/>
        <v>0.22435897435897437</v>
      </c>
      <c r="I175" s="6">
        <v>247</v>
      </c>
      <c r="J175" s="1">
        <f t="shared" si="38"/>
        <v>23.374844999999997</v>
      </c>
      <c r="L175" s="14"/>
    </row>
    <row r="176" spans="1:12" ht="12.75">
      <c r="A176" s="15"/>
      <c r="B176" s="15"/>
      <c r="D176" s="1">
        <f t="shared" si="36"/>
        <v>0</v>
      </c>
      <c r="G176" s="7">
        <f t="shared" si="35"/>
        <v>0</v>
      </c>
      <c r="H176" s="7" t="e">
        <f t="shared" si="37"/>
        <v>#DIV/0!</v>
      </c>
      <c r="I176" s="16"/>
      <c r="J176" s="1" t="e">
        <f t="shared" si="38"/>
        <v>#DIV/0!</v>
      </c>
      <c r="L176" s="14"/>
    </row>
    <row r="177" spans="1:12" ht="12.75">
      <c r="A177" s="15"/>
      <c r="B177" s="15"/>
      <c r="D177" s="1">
        <f t="shared" si="36"/>
        <v>0</v>
      </c>
      <c r="G177" s="7">
        <f t="shared" si="35"/>
        <v>0</v>
      </c>
      <c r="H177" s="7" t="e">
        <f t="shared" si="37"/>
        <v>#DIV/0!</v>
      </c>
      <c r="J177" s="1" t="e">
        <f t="shared" si="38"/>
        <v>#DIV/0!</v>
      </c>
      <c r="L177" s="14"/>
    </row>
    <row r="178" spans="4:10" ht="12.75">
      <c r="D178" s="1">
        <f t="shared" si="36"/>
        <v>0</v>
      </c>
      <c r="G178" s="7">
        <f t="shared" si="35"/>
        <v>0</v>
      </c>
      <c r="H178" s="7" t="e">
        <f t="shared" si="37"/>
        <v>#DIV/0!</v>
      </c>
      <c r="J178" s="1" t="e">
        <f t="shared" si="38"/>
        <v>#DIV/0!</v>
      </c>
    </row>
    <row r="179" spans="4:10" ht="12.75">
      <c r="D179" s="1">
        <f t="shared" si="36"/>
        <v>0</v>
      </c>
      <c r="G179" s="7">
        <f t="shared" si="35"/>
        <v>0</v>
      </c>
      <c r="H179" s="7" t="e">
        <f t="shared" si="37"/>
        <v>#DIV/0!</v>
      </c>
      <c r="J179" s="1" t="e">
        <f t="shared" si="38"/>
        <v>#DIV/0!</v>
      </c>
    </row>
    <row r="180" spans="4:10" ht="12.75">
      <c r="D180" s="1">
        <f t="shared" si="36"/>
        <v>0</v>
      </c>
      <c r="G180" s="7">
        <f t="shared" si="35"/>
        <v>0</v>
      </c>
      <c r="H180" s="7" t="e">
        <f t="shared" si="37"/>
        <v>#DIV/0!</v>
      </c>
      <c r="J180" s="1" t="e">
        <f t="shared" si="38"/>
        <v>#DIV/0!</v>
      </c>
    </row>
    <row r="181" spans="4:10" ht="12.75">
      <c r="D181" s="1"/>
      <c r="G181" s="7"/>
      <c r="H181" s="7"/>
      <c r="J181" s="1"/>
    </row>
    <row r="182" spans="4:10" ht="12.75">
      <c r="D182" s="1"/>
      <c r="G182" s="7"/>
      <c r="H182" s="7"/>
      <c r="J182" s="1"/>
    </row>
    <row r="183" spans="1:12" ht="12.75">
      <c r="A183" s="9" t="s">
        <v>127</v>
      </c>
      <c r="B183" s="9"/>
      <c r="C183" s="10">
        <f>SUM(C172:C182)</f>
        <v>214</v>
      </c>
      <c r="D183" s="10">
        <f>SUM(D172:D182)</f>
        <v>56.53299519205368</v>
      </c>
      <c r="E183" s="12">
        <f>SUM(E172:E182)</f>
        <v>17540</v>
      </c>
      <c r="F183" s="9"/>
      <c r="G183" s="11">
        <f>SUM(G172:G182)</f>
        <v>44.97435897435898</v>
      </c>
      <c r="H183" s="11" t="e">
        <f>SUM(H172:H182)</f>
        <v>#DIV/0!</v>
      </c>
      <c r="I183" s="12">
        <f>SUM(I172:I182)</f>
        <v>1246</v>
      </c>
      <c r="J183" s="10">
        <f>I183/D183</f>
        <v>22.040226168224297</v>
      </c>
      <c r="L183" s="14">
        <f>($J$306-J183)/$J$306</f>
        <v>-0.015239727316630692</v>
      </c>
    </row>
    <row r="184" spans="1:12" ht="12.75">
      <c r="A184" s="9"/>
      <c r="B184" s="9"/>
      <c r="C184" s="10"/>
      <c r="D184" s="10"/>
      <c r="E184" s="12"/>
      <c r="F184" s="9"/>
      <c r="G184" s="11"/>
      <c r="H184" s="11"/>
      <c r="I184" s="12"/>
      <c r="J184" s="10"/>
      <c r="L184" s="14"/>
    </row>
    <row r="185" ht="12.75">
      <c r="A185" s="9" t="s">
        <v>31</v>
      </c>
    </row>
    <row r="186" spans="1:12" ht="12.75">
      <c r="A186" t="s">
        <v>12</v>
      </c>
      <c r="B186" t="s">
        <v>13</v>
      </c>
      <c r="C186" s="5" t="s">
        <v>15</v>
      </c>
      <c r="D186" t="s">
        <v>21</v>
      </c>
      <c r="E186" s="6" t="s">
        <v>16</v>
      </c>
      <c r="F186" t="s">
        <v>18</v>
      </c>
      <c r="G186" s="3" t="s">
        <v>19</v>
      </c>
      <c r="H186" t="s">
        <v>26</v>
      </c>
      <c r="I186" s="6" t="s">
        <v>20</v>
      </c>
      <c r="J186" t="s">
        <v>3</v>
      </c>
      <c r="K186" t="s">
        <v>32</v>
      </c>
      <c r="L186" t="s">
        <v>66</v>
      </c>
    </row>
    <row r="187" spans="1:12" ht="12.75">
      <c r="A187" s="15">
        <v>74818</v>
      </c>
      <c r="B187" s="15" t="s">
        <v>134</v>
      </c>
      <c r="C187" s="1">
        <v>112</v>
      </c>
      <c r="D187" s="1">
        <f>C187/3.7854</f>
        <v>29.587361969672955</v>
      </c>
      <c r="E187" s="6">
        <v>68</v>
      </c>
      <c r="F187" t="s">
        <v>135</v>
      </c>
      <c r="G187" s="7">
        <f>E187/10.23</f>
        <v>6.647116324535679</v>
      </c>
      <c r="H187" s="7">
        <f>G187/C187</f>
        <v>0.05934925289763999</v>
      </c>
      <c r="I187" s="6">
        <v>568</v>
      </c>
      <c r="J187" s="1">
        <f>I187/D187</f>
        <v>19.197385714285712</v>
      </c>
      <c r="L187" s="14">
        <f>($J$306-J187)/$J$306</f>
        <v>0.11571013432418675</v>
      </c>
    </row>
    <row r="188" spans="1:12" ht="12.75">
      <c r="A188" s="15">
        <v>75195</v>
      </c>
      <c r="B188" s="15" t="s">
        <v>137</v>
      </c>
      <c r="C188" s="1">
        <v>73</v>
      </c>
      <c r="D188" s="1">
        <f>C188/3.7854</f>
        <v>19.284619855233263</v>
      </c>
      <c r="E188" s="6">
        <v>65.7</v>
      </c>
      <c r="F188" t="s">
        <v>135</v>
      </c>
      <c r="G188" s="7">
        <f aca="true" t="shared" si="39" ref="G188:G199">E188/10.23</f>
        <v>6.422287390029325</v>
      </c>
      <c r="H188" s="7">
        <f>G188/C188</f>
        <v>0.0879765395894428</v>
      </c>
      <c r="I188" s="6">
        <v>377</v>
      </c>
      <c r="J188" s="1">
        <f>I188/D188</f>
        <v>19.54925753424658</v>
      </c>
      <c r="L188" s="14">
        <f>($J$306-J188)/$J$306</f>
        <v>0.09950185007969446</v>
      </c>
    </row>
    <row r="189" spans="1:12" ht="12.75">
      <c r="A189" s="15">
        <v>75673</v>
      </c>
      <c r="B189" s="15" t="s">
        <v>138</v>
      </c>
      <c r="C189" s="1">
        <v>76</v>
      </c>
      <c r="D189" s="1">
        <f aca="true" t="shared" si="40" ref="D189:D199">C189/3.7854</f>
        <v>20.07713847942093</v>
      </c>
      <c r="E189" s="6">
        <v>46.5</v>
      </c>
      <c r="F189" t="s">
        <v>135</v>
      </c>
      <c r="G189" s="7">
        <f t="shared" si="39"/>
        <v>4.545454545454545</v>
      </c>
      <c r="H189" s="7">
        <f aca="true" t="shared" si="41" ref="H189:H199">G189/C189</f>
        <v>0.05980861244019138</v>
      </c>
      <c r="I189" s="6">
        <v>477</v>
      </c>
      <c r="J189" s="1">
        <f aca="true" t="shared" si="42" ref="J189:J199">I189/D189</f>
        <v>23.758365789473686</v>
      </c>
      <c r="L189" s="14"/>
    </row>
    <row r="190" spans="1:12" ht="12.75">
      <c r="A190" s="15">
        <v>76029</v>
      </c>
      <c r="B190" s="15" t="s">
        <v>139</v>
      </c>
      <c r="C190" s="5">
        <v>75.5</v>
      </c>
      <c r="D190" s="1">
        <f t="shared" si="40"/>
        <v>19.94505204205632</v>
      </c>
      <c r="E190" s="6">
        <v>48</v>
      </c>
      <c r="F190" t="s">
        <v>135</v>
      </c>
      <c r="G190" s="7">
        <f t="shared" si="39"/>
        <v>4.6920821114369495</v>
      </c>
      <c r="H190" s="7">
        <f t="shared" si="41"/>
        <v>0.06214678293293973</v>
      </c>
      <c r="I190" s="6">
        <v>356</v>
      </c>
      <c r="J190" s="1">
        <f t="shared" si="42"/>
        <v>17.849038410596027</v>
      </c>
      <c r="L190" s="14"/>
    </row>
    <row r="191" spans="1:12" ht="12.75">
      <c r="A191" s="15">
        <v>76373</v>
      </c>
      <c r="B191" s="15" t="s">
        <v>140</v>
      </c>
      <c r="C191" s="1">
        <v>63</v>
      </c>
      <c r="D191" s="1">
        <f t="shared" si="40"/>
        <v>16.642891107941036</v>
      </c>
      <c r="E191" s="6">
        <v>45</v>
      </c>
      <c r="F191" t="s">
        <v>135</v>
      </c>
      <c r="G191" s="7">
        <f t="shared" si="39"/>
        <v>4.39882697947214</v>
      </c>
      <c r="H191" s="7">
        <f t="shared" si="41"/>
        <v>0.06982265046781175</v>
      </c>
      <c r="I191" s="16">
        <v>343</v>
      </c>
      <c r="J191" s="1">
        <f t="shared" si="42"/>
        <v>20.6094</v>
      </c>
      <c r="L191" s="14"/>
    </row>
    <row r="192" spans="1:12" ht="12.75">
      <c r="A192" s="15">
        <v>76695</v>
      </c>
      <c r="B192" s="15" t="s">
        <v>141</v>
      </c>
      <c r="C192" s="1">
        <v>51</v>
      </c>
      <c r="D192" s="1">
        <f t="shared" si="40"/>
        <v>13.472816611190362</v>
      </c>
      <c r="E192" s="6">
        <v>35</v>
      </c>
      <c r="F192" t="s">
        <v>135</v>
      </c>
      <c r="G192" s="7">
        <f t="shared" si="39"/>
        <v>3.421309872922776</v>
      </c>
      <c r="H192" s="7">
        <f t="shared" si="41"/>
        <v>0.0670845073122113</v>
      </c>
      <c r="I192" s="6">
        <v>323</v>
      </c>
      <c r="J192" s="1">
        <f t="shared" si="42"/>
        <v>23.9742</v>
      </c>
      <c r="L192" s="14"/>
    </row>
    <row r="193" spans="1:10" ht="12.75">
      <c r="A193" s="15">
        <v>77137</v>
      </c>
      <c r="B193" s="15" t="s">
        <v>142</v>
      </c>
      <c r="C193" s="1">
        <v>83</v>
      </c>
      <c r="D193" s="1">
        <f t="shared" si="40"/>
        <v>21.926348602525493</v>
      </c>
      <c r="E193" s="6">
        <v>50</v>
      </c>
      <c r="F193" t="s">
        <v>135</v>
      </c>
      <c r="G193" s="7">
        <f t="shared" si="39"/>
        <v>4.887585532746823</v>
      </c>
      <c r="H193" s="7">
        <f t="shared" si="41"/>
        <v>0.05888657268369667</v>
      </c>
      <c r="I193" s="6">
        <v>441</v>
      </c>
      <c r="J193" s="1">
        <f t="shared" si="42"/>
        <v>20.112787951807228</v>
      </c>
    </row>
    <row r="194" spans="1:10" ht="12.75">
      <c r="A194" s="15">
        <v>77436</v>
      </c>
      <c r="B194" s="15" t="s">
        <v>143</v>
      </c>
      <c r="C194" s="1">
        <v>56</v>
      </c>
      <c r="D194" s="1">
        <f t="shared" si="40"/>
        <v>14.793680984836477</v>
      </c>
      <c r="E194" s="6">
        <v>38</v>
      </c>
      <c r="F194" t="s">
        <v>135</v>
      </c>
      <c r="G194" s="7">
        <f t="shared" si="39"/>
        <v>3.7145650048875853</v>
      </c>
      <c r="H194" s="7">
        <f t="shared" si="41"/>
        <v>0.06633151794442117</v>
      </c>
      <c r="I194" s="6">
        <v>299</v>
      </c>
      <c r="J194" s="1">
        <f t="shared" si="42"/>
        <v>20.21133214285714</v>
      </c>
    </row>
    <row r="195" spans="1:10" ht="12.75">
      <c r="A195" s="15">
        <v>77743</v>
      </c>
      <c r="B195" s="15" t="s">
        <v>142</v>
      </c>
      <c r="C195" s="1">
        <v>55</v>
      </c>
      <c r="D195" s="1">
        <f t="shared" si="40"/>
        <v>14.529508110107253</v>
      </c>
      <c r="E195" s="6">
        <v>33</v>
      </c>
      <c r="F195" t="s">
        <v>135</v>
      </c>
      <c r="G195" s="7">
        <f t="shared" si="39"/>
        <v>3.225806451612903</v>
      </c>
      <c r="H195" s="7">
        <f t="shared" si="41"/>
        <v>0.05865102639296187</v>
      </c>
      <c r="I195" s="6">
        <v>307</v>
      </c>
      <c r="J195" s="1">
        <f t="shared" si="42"/>
        <v>21.129414545454548</v>
      </c>
    </row>
    <row r="196" spans="1:10" ht="12.75">
      <c r="A196" s="15">
        <v>78093</v>
      </c>
      <c r="B196" s="15" t="s">
        <v>145</v>
      </c>
      <c r="C196" s="1">
        <v>64</v>
      </c>
      <c r="D196" s="1">
        <f t="shared" si="40"/>
        <v>16.90706398267026</v>
      </c>
      <c r="E196" s="6">
        <v>40</v>
      </c>
      <c r="F196" t="s">
        <v>135</v>
      </c>
      <c r="G196" s="7">
        <f t="shared" si="39"/>
        <v>3.910068426197458</v>
      </c>
      <c r="H196" s="7">
        <f t="shared" si="41"/>
        <v>0.06109481915933528</v>
      </c>
      <c r="I196" s="6">
        <v>350</v>
      </c>
      <c r="J196" s="1">
        <f t="shared" si="42"/>
        <v>20.70140625</v>
      </c>
    </row>
    <row r="197" spans="1:10" ht="12.75">
      <c r="A197" s="15">
        <v>78483</v>
      </c>
      <c r="B197" s="15" t="s">
        <v>146</v>
      </c>
      <c r="C197" s="1">
        <v>78</v>
      </c>
      <c r="D197" s="1">
        <f t="shared" si="40"/>
        <v>20.605484228879376</v>
      </c>
      <c r="E197" s="6">
        <v>48</v>
      </c>
      <c r="F197" t="s">
        <v>135</v>
      </c>
      <c r="G197" s="7">
        <f t="shared" si="39"/>
        <v>4.6920821114369495</v>
      </c>
      <c r="H197" s="7">
        <f t="shared" si="41"/>
        <v>0.06015489886457628</v>
      </c>
      <c r="I197" s="6">
        <v>389</v>
      </c>
      <c r="J197" s="1">
        <f t="shared" si="42"/>
        <v>18.878469230769234</v>
      </c>
    </row>
    <row r="198" spans="1:10" ht="12.75">
      <c r="A198" s="15">
        <v>78794</v>
      </c>
      <c r="B198" s="15" t="s">
        <v>147</v>
      </c>
      <c r="C198" s="1">
        <v>67</v>
      </c>
      <c r="D198" s="1">
        <f t="shared" si="40"/>
        <v>17.699582606857927</v>
      </c>
      <c r="E198" s="6">
        <v>45</v>
      </c>
      <c r="F198" t="s">
        <v>135</v>
      </c>
      <c r="G198" s="7">
        <f t="shared" si="39"/>
        <v>4.39882697947214</v>
      </c>
      <c r="H198" s="7">
        <f t="shared" si="41"/>
        <v>0.06565413402197225</v>
      </c>
      <c r="I198" s="6">
        <v>310</v>
      </c>
      <c r="J198" s="1">
        <f t="shared" si="42"/>
        <v>17.514537313432836</v>
      </c>
    </row>
    <row r="199" spans="1:10" ht="12.75">
      <c r="A199" s="15">
        <v>79090</v>
      </c>
      <c r="B199" s="15" t="s">
        <v>148</v>
      </c>
      <c r="C199" s="1">
        <v>65</v>
      </c>
      <c r="D199" s="1">
        <f t="shared" si="40"/>
        <v>17.17123685739948</v>
      </c>
      <c r="E199" s="6">
        <v>39</v>
      </c>
      <c r="F199" t="s">
        <v>135</v>
      </c>
      <c r="G199" s="7">
        <f t="shared" si="39"/>
        <v>3.8123167155425217</v>
      </c>
      <c r="H199" s="7">
        <f t="shared" si="41"/>
        <v>0.05865102639296187</v>
      </c>
      <c r="I199" s="6">
        <v>297</v>
      </c>
      <c r="J199" s="1">
        <f t="shared" si="42"/>
        <v>17.296366153846154</v>
      </c>
    </row>
    <row r="200" spans="1:10" ht="12.75">
      <c r="A200" s="15"/>
      <c r="B200" s="15"/>
      <c r="D200" s="1"/>
      <c r="G200" s="7"/>
      <c r="H200" s="7"/>
      <c r="J200" s="1"/>
    </row>
    <row r="201" spans="4:10" ht="12.75">
      <c r="D201" s="1"/>
      <c r="G201" s="7"/>
      <c r="H201" s="7"/>
      <c r="J201" s="1"/>
    </row>
    <row r="202" spans="4:10" ht="12.75">
      <c r="D202" s="1"/>
      <c r="G202" s="7"/>
      <c r="H202" s="7"/>
      <c r="J202" s="1"/>
    </row>
    <row r="203" spans="1:12" ht="12.75">
      <c r="A203" s="9" t="s">
        <v>133</v>
      </c>
      <c r="B203" s="9"/>
      <c r="C203" s="10">
        <f>SUM(C187:C202)</f>
        <v>918.5</v>
      </c>
      <c r="D203" s="10">
        <f>SUM(D187:D202)</f>
        <v>242.64278543879112</v>
      </c>
      <c r="E203" s="12">
        <f>SUM(E187:E202)</f>
        <v>601.2</v>
      </c>
      <c r="F203" s="9"/>
      <c r="G203" s="11">
        <f>SUM(G187:G202)</f>
        <v>58.76832844574779</v>
      </c>
      <c r="H203" s="11">
        <f>SUM(H187:H202)</f>
        <v>0.8356123411001622</v>
      </c>
      <c r="I203" s="12">
        <f>SUM(I187:I202)</f>
        <v>4837</v>
      </c>
      <c r="J203" s="10">
        <f>I203/D203</f>
        <v>19.934654109961897</v>
      </c>
      <c r="L203" s="14">
        <f>($J$306-J203)/$J$306</f>
        <v>0.08174931381025805</v>
      </c>
    </row>
    <row r="204" spans="1:12" ht="12.75">
      <c r="A204" s="9"/>
      <c r="B204" s="9"/>
      <c r="C204" s="10"/>
      <c r="D204" s="10"/>
      <c r="E204" s="12"/>
      <c r="F204" s="9"/>
      <c r="G204" s="11"/>
      <c r="H204" s="11"/>
      <c r="I204" s="12"/>
      <c r="J204" s="10"/>
      <c r="L204" s="14"/>
    </row>
    <row r="205" ht="12.75">
      <c r="A205" s="9" t="s">
        <v>31</v>
      </c>
    </row>
    <row r="206" spans="1:12" ht="12.75">
      <c r="A206" t="s">
        <v>12</v>
      </c>
      <c r="B206" t="s">
        <v>13</v>
      </c>
      <c r="C206" s="5" t="s">
        <v>15</v>
      </c>
      <c r="D206" t="s">
        <v>21</v>
      </c>
      <c r="E206" s="6" t="s">
        <v>16</v>
      </c>
      <c r="F206" t="s">
        <v>18</v>
      </c>
      <c r="G206" s="3" t="s">
        <v>19</v>
      </c>
      <c r="H206" t="s">
        <v>26</v>
      </c>
      <c r="I206" s="6" t="s">
        <v>20</v>
      </c>
      <c r="J206" t="s">
        <v>3</v>
      </c>
      <c r="K206" t="s">
        <v>32</v>
      </c>
      <c r="L206" t="s">
        <v>66</v>
      </c>
    </row>
    <row r="207" spans="1:12" ht="12.75">
      <c r="A207" s="15">
        <v>79611</v>
      </c>
      <c r="B207" s="15" t="s">
        <v>153</v>
      </c>
      <c r="C207" s="1">
        <v>91</v>
      </c>
      <c r="D207" s="1">
        <f>C207/3.7854</f>
        <v>24.039731600359275</v>
      </c>
      <c r="E207" s="6">
        <v>12.5</v>
      </c>
      <c r="F207" t="s">
        <v>129</v>
      </c>
      <c r="G207" s="7">
        <f>E207/2.38</f>
        <v>5.2521008403361344</v>
      </c>
      <c r="H207" s="7">
        <f>G207/C207</f>
        <v>0.057715393849847633</v>
      </c>
      <c r="I207" s="6">
        <v>521</v>
      </c>
      <c r="J207" s="1">
        <f>I207/D207</f>
        <v>21.672454945054945</v>
      </c>
      <c r="L207" s="14">
        <f>($J$306-J207)/$J$306</f>
        <v>0.0017009317072616593</v>
      </c>
    </row>
    <row r="208" spans="1:12" ht="12.75">
      <c r="A208" s="15">
        <v>80096</v>
      </c>
      <c r="B208" s="15" t="s">
        <v>154</v>
      </c>
      <c r="C208" s="1">
        <v>89</v>
      </c>
      <c r="D208" s="1">
        <f>C208/3.7854</f>
        <v>23.51138585090083</v>
      </c>
      <c r="E208" s="6">
        <v>12.5</v>
      </c>
      <c r="F208" t="s">
        <v>129</v>
      </c>
      <c r="G208" s="7">
        <f aca="true" t="shared" si="43" ref="G208:G219">E208/2.38</f>
        <v>5.2521008403361344</v>
      </c>
      <c r="H208" s="7">
        <f>G208/C208</f>
        <v>0.05901236899254084</v>
      </c>
      <c r="I208" s="6">
        <v>484</v>
      </c>
      <c r="J208" s="1">
        <f>I208/D208</f>
        <v>20.585770786516854</v>
      </c>
      <c r="L208" s="14">
        <f>($J$306-J208)/$J$306</f>
        <v>0.05175690301957412</v>
      </c>
    </row>
    <row r="209" spans="1:12" ht="12.75">
      <c r="A209" s="15"/>
      <c r="B209" s="15"/>
      <c r="D209" s="1">
        <f aca="true" t="shared" si="44" ref="D209:D219">C209/3.7854</f>
        <v>0</v>
      </c>
      <c r="G209" s="7">
        <f t="shared" si="43"/>
        <v>0</v>
      </c>
      <c r="H209" s="7" t="e">
        <f aca="true" t="shared" si="45" ref="H209:H219">G209/C209</f>
        <v>#DIV/0!</v>
      </c>
      <c r="J209" s="1" t="e">
        <f aca="true" t="shared" si="46" ref="J209:J219">I209/D209</f>
        <v>#DIV/0!</v>
      </c>
      <c r="L209" s="14"/>
    </row>
    <row r="210" spans="1:12" ht="12.75">
      <c r="A210" s="15"/>
      <c r="B210" s="15"/>
      <c r="C210" s="5"/>
      <c r="D210" s="1">
        <f t="shared" si="44"/>
        <v>0</v>
      </c>
      <c r="G210" s="7">
        <f t="shared" si="43"/>
        <v>0</v>
      </c>
      <c r="H210" s="7" t="e">
        <f t="shared" si="45"/>
        <v>#DIV/0!</v>
      </c>
      <c r="J210" s="1" t="e">
        <f t="shared" si="46"/>
        <v>#DIV/0!</v>
      </c>
      <c r="L210" s="14"/>
    </row>
    <row r="211" spans="1:12" ht="12.75">
      <c r="A211" s="15"/>
      <c r="B211" s="15"/>
      <c r="D211" s="1">
        <f t="shared" si="44"/>
        <v>0</v>
      </c>
      <c r="G211" s="7">
        <f t="shared" si="43"/>
        <v>0</v>
      </c>
      <c r="H211" s="7" t="e">
        <f t="shared" si="45"/>
        <v>#DIV/0!</v>
      </c>
      <c r="I211" s="16"/>
      <c r="J211" s="1" t="e">
        <f t="shared" si="46"/>
        <v>#DIV/0!</v>
      </c>
      <c r="L211" s="14"/>
    </row>
    <row r="212" spans="1:12" ht="12.75">
      <c r="A212" s="15"/>
      <c r="B212" s="15"/>
      <c r="D212" s="1">
        <f t="shared" si="44"/>
        <v>0</v>
      </c>
      <c r="G212" s="7">
        <f t="shared" si="43"/>
        <v>0</v>
      </c>
      <c r="H212" s="7" t="e">
        <f t="shared" si="45"/>
        <v>#DIV/0!</v>
      </c>
      <c r="J212" s="1" t="e">
        <f t="shared" si="46"/>
        <v>#DIV/0!</v>
      </c>
      <c r="L212" s="14"/>
    </row>
    <row r="213" spans="1:10" ht="12.75">
      <c r="A213" s="15"/>
      <c r="B213" s="15"/>
      <c r="D213" s="1">
        <f t="shared" si="44"/>
        <v>0</v>
      </c>
      <c r="G213" s="7">
        <f t="shared" si="43"/>
        <v>0</v>
      </c>
      <c r="H213" s="7" t="e">
        <f t="shared" si="45"/>
        <v>#DIV/0!</v>
      </c>
      <c r="J213" s="1" t="e">
        <f t="shared" si="46"/>
        <v>#DIV/0!</v>
      </c>
    </row>
    <row r="214" spans="1:10" ht="12.75">
      <c r="A214" s="15"/>
      <c r="B214" s="15"/>
      <c r="D214" s="1">
        <f t="shared" si="44"/>
        <v>0</v>
      </c>
      <c r="G214" s="7">
        <f t="shared" si="43"/>
        <v>0</v>
      </c>
      <c r="H214" s="7" t="e">
        <f t="shared" si="45"/>
        <v>#DIV/0!</v>
      </c>
      <c r="J214" s="1" t="e">
        <f t="shared" si="46"/>
        <v>#DIV/0!</v>
      </c>
    </row>
    <row r="215" spans="1:10" ht="12.75">
      <c r="A215" s="15"/>
      <c r="B215" s="15"/>
      <c r="D215" s="1">
        <f t="shared" si="44"/>
        <v>0</v>
      </c>
      <c r="G215" s="7">
        <f t="shared" si="43"/>
        <v>0</v>
      </c>
      <c r="H215" s="7" t="e">
        <f t="shared" si="45"/>
        <v>#DIV/0!</v>
      </c>
      <c r="J215" s="1" t="e">
        <f t="shared" si="46"/>
        <v>#DIV/0!</v>
      </c>
    </row>
    <row r="216" spans="1:10" ht="12.75">
      <c r="A216" s="15"/>
      <c r="B216" s="15"/>
      <c r="D216" s="1">
        <f t="shared" si="44"/>
        <v>0</v>
      </c>
      <c r="G216" s="7">
        <f t="shared" si="43"/>
        <v>0</v>
      </c>
      <c r="H216" s="7" t="e">
        <f t="shared" si="45"/>
        <v>#DIV/0!</v>
      </c>
      <c r="J216" s="1" t="e">
        <f t="shared" si="46"/>
        <v>#DIV/0!</v>
      </c>
    </row>
    <row r="217" spans="1:10" ht="12.75">
      <c r="A217" s="15"/>
      <c r="B217" s="15"/>
      <c r="D217" s="1">
        <f t="shared" si="44"/>
        <v>0</v>
      </c>
      <c r="G217" s="7">
        <f t="shared" si="43"/>
        <v>0</v>
      </c>
      <c r="H217" s="7" t="e">
        <f t="shared" si="45"/>
        <v>#DIV/0!</v>
      </c>
      <c r="J217" s="1" t="e">
        <f t="shared" si="46"/>
        <v>#DIV/0!</v>
      </c>
    </row>
    <row r="218" spans="1:10" ht="12.75">
      <c r="A218" s="15"/>
      <c r="B218" s="15"/>
      <c r="D218" s="1">
        <f t="shared" si="44"/>
        <v>0</v>
      </c>
      <c r="G218" s="7">
        <f t="shared" si="43"/>
        <v>0</v>
      </c>
      <c r="H218" s="7" t="e">
        <f t="shared" si="45"/>
        <v>#DIV/0!</v>
      </c>
      <c r="J218" s="1" t="e">
        <f t="shared" si="46"/>
        <v>#DIV/0!</v>
      </c>
    </row>
    <row r="219" spans="1:10" ht="12.75">
      <c r="A219" s="15"/>
      <c r="B219" s="15"/>
      <c r="D219" s="1">
        <f t="shared" si="44"/>
        <v>0</v>
      </c>
      <c r="G219" s="7">
        <f t="shared" si="43"/>
        <v>0</v>
      </c>
      <c r="H219" s="7" t="e">
        <f t="shared" si="45"/>
        <v>#DIV/0!</v>
      </c>
      <c r="J219" s="1" t="e">
        <f t="shared" si="46"/>
        <v>#DIV/0!</v>
      </c>
    </row>
    <row r="220" spans="1:10" ht="12.75">
      <c r="A220" s="15"/>
      <c r="B220" s="15"/>
      <c r="D220" s="1"/>
      <c r="G220" s="7"/>
      <c r="H220" s="7"/>
      <c r="J220" s="1"/>
    </row>
    <row r="221" spans="4:10" ht="12.75">
      <c r="D221" s="1"/>
      <c r="G221" s="7"/>
      <c r="H221" s="7"/>
      <c r="J221" s="1"/>
    </row>
    <row r="222" spans="4:10" ht="12.75">
      <c r="D222" s="1"/>
      <c r="G222" s="7"/>
      <c r="H222" s="7"/>
      <c r="J222" s="1"/>
    </row>
    <row r="223" spans="1:12" ht="12.75">
      <c r="A223" s="9" t="s">
        <v>149</v>
      </c>
      <c r="B223" s="9"/>
      <c r="C223" s="10">
        <f>SUM(C207:C222)</f>
        <v>180</v>
      </c>
      <c r="D223" s="10">
        <f>SUM(D207:D222)</f>
        <v>47.551117451260104</v>
      </c>
      <c r="E223" s="12">
        <f>SUM(E207:E222)</f>
        <v>25</v>
      </c>
      <c r="F223" s="9"/>
      <c r="G223" s="11">
        <f>SUM(G207:G222)</f>
        <v>10.504201680672269</v>
      </c>
      <c r="H223" s="11" t="e">
        <f>SUM(H207:H222)</f>
        <v>#DIV/0!</v>
      </c>
      <c r="I223" s="12">
        <f>SUM(I207:I222)</f>
        <v>1005</v>
      </c>
      <c r="J223" s="10">
        <f>I223/D223</f>
        <v>21.13515</v>
      </c>
      <c r="L223" s="14">
        <f>($J$306-J223)/$J$306</f>
        <v>0.026450828633905053</v>
      </c>
    </row>
    <row r="224" spans="1:12" ht="12.75">
      <c r="A224" s="9"/>
      <c r="B224" s="9"/>
      <c r="C224" s="10"/>
      <c r="D224" s="10"/>
      <c r="E224" s="12"/>
      <c r="F224" s="9"/>
      <c r="G224" s="11"/>
      <c r="H224" s="11"/>
      <c r="I224" s="12"/>
      <c r="J224" s="10"/>
      <c r="L224" s="14"/>
    </row>
    <row r="225" ht="12.75">
      <c r="A225" s="9" t="s">
        <v>31</v>
      </c>
    </row>
    <row r="226" spans="1:12" ht="12.75">
      <c r="A226" t="s">
        <v>12</v>
      </c>
      <c r="B226" t="s">
        <v>13</v>
      </c>
      <c r="C226" s="5" t="s">
        <v>15</v>
      </c>
      <c r="D226" t="s">
        <v>21</v>
      </c>
      <c r="E226" s="6" t="s">
        <v>16</v>
      </c>
      <c r="F226" t="s">
        <v>18</v>
      </c>
      <c r="G226" s="3" t="s">
        <v>19</v>
      </c>
      <c r="H226" t="s">
        <v>26</v>
      </c>
      <c r="I226" s="6" t="s">
        <v>20</v>
      </c>
      <c r="J226" t="s">
        <v>3</v>
      </c>
      <c r="K226" t="s">
        <v>32</v>
      </c>
      <c r="L226" t="s">
        <v>66</v>
      </c>
    </row>
    <row r="227" spans="1:12" ht="12.75">
      <c r="A227" s="15">
        <v>80566</v>
      </c>
      <c r="B227" s="15" t="s">
        <v>161</v>
      </c>
      <c r="C227" s="1">
        <v>72</v>
      </c>
      <c r="D227" s="1">
        <f>C227/3.7854</f>
        <v>19.02044698050404</v>
      </c>
      <c r="E227" s="6">
        <v>50</v>
      </c>
      <c r="F227" t="s">
        <v>129</v>
      </c>
      <c r="G227" s="7">
        <f>E227/2.4</f>
        <v>20.833333333333336</v>
      </c>
      <c r="H227" s="7">
        <f>G227/C227</f>
        <v>0.28935185185185186</v>
      </c>
      <c r="I227" s="6">
        <v>470</v>
      </c>
      <c r="J227" s="1">
        <f>I227/D227</f>
        <v>24.710250000000002</v>
      </c>
      <c r="L227" s="14">
        <f>($J$306-J227)/$J$306</f>
        <v>-0.13822913070165344</v>
      </c>
    </row>
    <row r="228" spans="1:12" ht="12.75">
      <c r="A228" s="15">
        <v>80897</v>
      </c>
      <c r="B228" s="15" t="s">
        <v>162</v>
      </c>
      <c r="C228" s="1">
        <v>66</v>
      </c>
      <c r="D228" s="1">
        <f>C228/3.7854</f>
        <v>17.435409732128704</v>
      </c>
      <c r="E228" s="6">
        <v>46</v>
      </c>
      <c r="F228" t="s">
        <v>129</v>
      </c>
      <c r="G228" s="7">
        <f aca="true" t="shared" si="47" ref="G228:G239">E228/2.4</f>
        <v>19.166666666666668</v>
      </c>
      <c r="H228" s="7">
        <f>G228/C228</f>
        <v>0.29040404040404044</v>
      </c>
      <c r="I228" s="6">
        <v>331</v>
      </c>
      <c r="J228" s="1">
        <f>I228/D228</f>
        <v>18.984354545454547</v>
      </c>
      <c r="L228" s="14">
        <f>($J$306-J228)/$J$306</f>
        <v>0.12552299668337188</v>
      </c>
    </row>
    <row r="229" spans="1:12" ht="12.75">
      <c r="A229" s="15">
        <v>81233</v>
      </c>
      <c r="B229" s="15" t="s">
        <v>163</v>
      </c>
      <c r="C229" s="1">
        <v>57</v>
      </c>
      <c r="D229" s="1">
        <f aca="true" t="shared" si="48" ref="D229:D239">C229/3.7854</f>
        <v>15.0578538595657</v>
      </c>
      <c r="E229" s="6">
        <v>39</v>
      </c>
      <c r="F229" t="s">
        <v>129</v>
      </c>
      <c r="G229" s="7">
        <f t="shared" si="47"/>
        <v>16.25</v>
      </c>
      <c r="H229" s="7">
        <f aca="true" t="shared" si="49" ref="H229:H239">G229/C229</f>
        <v>0.2850877192982456</v>
      </c>
      <c r="I229" s="6">
        <v>336</v>
      </c>
      <c r="J229" s="1">
        <f aca="true" t="shared" si="50" ref="J229:J239">I229/D229</f>
        <v>22.313936842105264</v>
      </c>
      <c r="L229" s="14"/>
    </row>
    <row r="230" spans="1:12" ht="12.75">
      <c r="A230" s="15"/>
      <c r="B230" s="15"/>
      <c r="C230" s="5"/>
      <c r="D230" s="1">
        <f t="shared" si="48"/>
        <v>0</v>
      </c>
      <c r="G230" s="7">
        <f t="shared" si="47"/>
        <v>0</v>
      </c>
      <c r="H230" s="7" t="e">
        <f t="shared" si="49"/>
        <v>#DIV/0!</v>
      </c>
      <c r="J230" s="1" t="e">
        <f t="shared" si="50"/>
        <v>#DIV/0!</v>
      </c>
      <c r="L230" s="14"/>
    </row>
    <row r="231" spans="1:12" ht="12.75">
      <c r="A231" s="15"/>
      <c r="B231" s="15"/>
      <c r="D231" s="1">
        <f t="shared" si="48"/>
        <v>0</v>
      </c>
      <c r="G231" s="7">
        <f t="shared" si="47"/>
        <v>0</v>
      </c>
      <c r="H231" s="7" t="e">
        <f t="shared" si="49"/>
        <v>#DIV/0!</v>
      </c>
      <c r="I231" s="16"/>
      <c r="J231" s="1" t="e">
        <f t="shared" si="50"/>
        <v>#DIV/0!</v>
      </c>
      <c r="L231" s="14"/>
    </row>
    <row r="232" spans="1:12" ht="12.75">
      <c r="A232" s="15"/>
      <c r="B232" s="15"/>
      <c r="D232" s="1">
        <f t="shared" si="48"/>
        <v>0</v>
      </c>
      <c r="G232" s="7">
        <f t="shared" si="47"/>
        <v>0</v>
      </c>
      <c r="H232" s="7" t="e">
        <f t="shared" si="49"/>
        <v>#DIV/0!</v>
      </c>
      <c r="J232" s="1" t="e">
        <f t="shared" si="50"/>
        <v>#DIV/0!</v>
      </c>
      <c r="L232" s="14"/>
    </row>
    <row r="233" spans="1:10" ht="12.75">
      <c r="A233" s="15"/>
      <c r="B233" s="15"/>
      <c r="D233" s="1">
        <f t="shared" si="48"/>
        <v>0</v>
      </c>
      <c r="G233" s="7">
        <f t="shared" si="47"/>
        <v>0</v>
      </c>
      <c r="H233" s="7" t="e">
        <f t="shared" si="49"/>
        <v>#DIV/0!</v>
      </c>
      <c r="J233" s="1" t="e">
        <f t="shared" si="50"/>
        <v>#DIV/0!</v>
      </c>
    </row>
    <row r="234" spans="1:10" ht="12.75">
      <c r="A234" s="15"/>
      <c r="B234" s="15"/>
      <c r="D234" s="1">
        <f t="shared" si="48"/>
        <v>0</v>
      </c>
      <c r="G234" s="7">
        <f t="shared" si="47"/>
        <v>0</v>
      </c>
      <c r="H234" s="7" t="e">
        <f t="shared" si="49"/>
        <v>#DIV/0!</v>
      </c>
      <c r="J234" s="1" t="e">
        <f t="shared" si="50"/>
        <v>#DIV/0!</v>
      </c>
    </row>
    <row r="235" spans="1:10" ht="12.75">
      <c r="A235" s="15"/>
      <c r="B235" s="15"/>
      <c r="D235" s="1">
        <f t="shared" si="48"/>
        <v>0</v>
      </c>
      <c r="G235" s="7">
        <f t="shared" si="47"/>
        <v>0</v>
      </c>
      <c r="H235" s="7" t="e">
        <f t="shared" si="49"/>
        <v>#DIV/0!</v>
      </c>
      <c r="J235" s="1" t="e">
        <f t="shared" si="50"/>
        <v>#DIV/0!</v>
      </c>
    </row>
    <row r="236" spans="1:10" ht="12.75">
      <c r="A236" s="15"/>
      <c r="B236" s="15"/>
      <c r="D236" s="1">
        <f t="shared" si="48"/>
        <v>0</v>
      </c>
      <c r="G236" s="7">
        <f t="shared" si="47"/>
        <v>0</v>
      </c>
      <c r="H236" s="7" t="e">
        <f t="shared" si="49"/>
        <v>#DIV/0!</v>
      </c>
      <c r="J236" s="1" t="e">
        <f t="shared" si="50"/>
        <v>#DIV/0!</v>
      </c>
    </row>
    <row r="237" spans="1:10" ht="12.75">
      <c r="A237" s="15"/>
      <c r="B237" s="15"/>
      <c r="D237" s="1">
        <f t="shared" si="48"/>
        <v>0</v>
      </c>
      <c r="G237" s="7">
        <f t="shared" si="47"/>
        <v>0</v>
      </c>
      <c r="H237" s="7" t="e">
        <f t="shared" si="49"/>
        <v>#DIV/0!</v>
      </c>
      <c r="J237" s="1" t="e">
        <f t="shared" si="50"/>
        <v>#DIV/0!</v>
      </c>
    </row>
    <row r="238" spans="1:10" ht="12.75">
      <c r="A238" s="15"/>
      <c r="B238" s="15"/>
      <c r="D238" s="1">
        <f t="shared" si="48"/>
        <v>0</v>
      </c>
      <c r="G238" s="7">
        <f t="shared" si="47"/>
        <v>0</v>
      </c>
      <c r="H238" s="7" t="e">
        <f t="shared" si="49"/>
        <v>#DIV/0!</v>
      </c>
      <c r="J238" s="1" t="e">
        <f t="shared" si="50"/>
        <v>#DIV/0!</v>
      </c>
    </row>
    <row r="239" spans="1:10" ht="12.75">
      <c r="A239" s="15"/>
      <c r="B239" s="15"/>
      <c r="D239" s="1">
        <f t="shared" si="48"/>
        <v>0</v>
      </c>
      <c r="G239" s="7">
        <f t="shared" si="47"/>
        <v>0</v>
      </c>
      <c r="H239" s="7" t="e">
        <f t="shared" si="49"/>
        <v>#DIV/0!</v>
      </c>
      <c r="J239" s="1" t="e">
        <f t="shared" si="50"/>
        <v>#DIV/0!</v>
      </c>
    </row>
    <row r="240" spans="1:10" ht="12.75">
      <c r="A240" s="15"/>
      <c r="B240" s="15"/>
      <c r="D240" s="1"/>
      <c r="G240" s="7"/>
      <c r="H240" s="7"/>
      <c r="J240" s="1"/>
    </row>
    <row r="241" spans="4:10" ht="12.75">
      <c r="D241" s="1"/>
      <c r="G241" s="7"/>
      <c r="H241" s="7"/>
      <c r="J241" s="1"/>
    </row>
    <row r="242" spans="4:10" ht="12.75">
      <c r="D242" s="1"/>
      <c r="G242" s="7"/>
      <c r="H242" s="7"/>
      <c r="J242" s="1"/>
    </row>
    <row r="243" spans="1:12" ht="12.75">
      <c r="A243" s="9" t="s">
        <v>159</v>
      </c>
      <c r="B243" s="9"/>
      <c r="C243" s="10">
        <f>SUM(C227:C242)</f>
        <v>195</v>
      </c>
      <c r="D243" s="10">
        <f>SUM(D227:D242)</f>
        <v>51.51371057219845</v>
      </c>
      <c r="E243" s="12">
        <f>SUM(E227:E242)</f>
        <v>135</v>
      </c>
      <c r="F243" s="9"/>
      <c r="G243" s="11">
        <f>SUM(G227:G242)</f>
        <v>56.25</v>
      </c>
      <c r="H243" s="11" t="e">
        <f>SUM(H227:H242)</f>
        <v>#DIV/0!</v>
      </c>
      <c r="I243" s="12">
        <f>SUM(I227:I242)</f>
        <v>1137</v>
      </c>
      <c r="J243" s="10">
        <f>I243/D243</f>
        <v>22.071793846153845</v>
      </c>
      <c r="L243" s="14">
        <f>($J$306-J243)/$J$306</f>
        <v>-0.01669383039563714</v>
      </c>
    </row>
    <row r="244" spans="1:12" ht="12.75">
      <c r="A244" s="9"/>
      <c r="B244" s="9"/>
      <c r="C244" s="10"/>
      <c r="D244" s="10"/>
      <c r="E244" s="12"/>
      <c r="F244" s="9"/>
      <c r="G244" s="11"/>
      <c r="H244" s="11"/>
      <c r="I244" s="12"/>
      <c r="J244" s="10"/>
      <c r="L244" s="14"/>
    </row>
    <row r="245" ht="12.75">
      <c r="A245" s="9" t="s">
        <v>31</v>
      </c>
    </row>
    <row r="246" spans="1:12" ht="12.75">
      <c r="A246" t="s">
        <v>12</v>
      </c>
      <c r="B246" t="s">
        <v>13</v>
      </c>
      <c r="C246" s="5" t="s">
        <v>15</v>
      </c>
      <c r="D246" t="s">
        <v>21</v>
      </c>
      <c r="E246" s="6" t="s">
        <v>16</v>
      </c>
      <c r="F246" t="s">
        <v>18</v>
      </c>
      <c r="G246" s="3" t="s">
        <v>19</v>
      </c>
      <c r="H246" t="s">
        <v>26</v>
      </c>
      <c r="I246" s="6" t="s">
        <v>20</v>
      </c>
      <c r="J246" t="s">
        <v>3</v>
      </c>
      <c r="K246" t="s">
        <v>32</v>
      </c>
      <c r="L246" t="s">
        <v>66</v>
      </c>
    </row>
    <row r="247" spans="1:12" ht="12.75">
      <c r="A247" s="15">
        <v>81862</v>
      </c>
      <c r="B247" s="15" t="s">
        <v>164</v>
      </c>
      <c r="C247" s="1">
        <v>75</v>
      </c>
      <c r="D247" s="1">
        <f>C247/3.7854</f>
        <v>19.81296560469171</v>
      </c>
      <c r="E247" s="6">
        <v>89</v>
      </c>
      <c r="F247" t="s">
        <v>165</v>
      </c>
      <c r="G247" s="7">
        <f>E247/1.55</f>
        <v>57.41935483870967</v>
      </c>
      <c r="H247" s="7">
        <f>G247/C247</f>
        <v>0.7655913978494623</v>
      </c>
      <c r="I247" s="6">
        <v>418</v>
      </c>
      <c r="J247" s="1">
        <f>I247/D247</f>
        <v>21.097296000000004</v>
      </c>
      <c r="L247" s="14">
        <f>($J$306-J247)/$J$306</f>
        <v>0.028194498791575477</v>
      </c>
    </row>
    <row r="248" spans="1:12" ht="12.75">
      <c r="A248" s="15">
        <v>82110</v>
      </c>
      <c r="B248" s="15" t="s">
        <v>166</v>
      </c>
      <c r="C248" s="1">
        <v>80</v>
      </c>
      <c r="D248" s="1">
        <f>C248/3.7854</f>
        <v>21.133829978337825</v>
      </c>
      <c r="E248" s="6">
        <v>81</v>
      </c>
      <c r="F248" t="s">
        <v>165</v>
      </c>
      <c r="G248" s="7">
        <f aca="true" t="shared" si="51" ref="G248:G259">E248/1.55</f>
        <v>52.25806451612903</v>
      </c>
      <c r="H248" s="7">
        <f>G248/C248</f>
        <v>0.6532258064516129</v>
      </c>
      <c r="I248" s="6">
        <v>458</v>
      </c>
      <c r="J248" s="1">
        <f>I248/D248</f>
        <v>21.671415</v>
      </c>
      <c r="L248" s="14">
        <f>($J$306-J248)/$J$306</f>
        <v>0.0017488347335712882</v>
      </c>
    </row>
    <row r="249" spans="1:12" ht="12.75">
      <c r="A249" s="15">
        <v>82644</v>
      </c>
      <c r="B249" s="15" t="s">
        <v>169</v>
      </c>
      <c r="C249" s="1">
        <v>95</v>
      </c>
      <c r="D249" s="1">
        <f aca="true" t="shared" si="52" ref="D249:D259">C249/3.7854</f>
        <v>25.096423099276166</v>
      </c>
      <c r="E249" s="6">
        <v>93</v>
      </c>
      <c r="F249" t="s">
        <v>165</v>
      </c>
      <c r="G249" s="7">
        <f t="shared" si="51"/>
        <v>60</v>
      </c>
      <c r="H249" s="7">
        <f aca="true" t="shared" si="53" ref="H249:H259">G249/C249</f>
        <v>0.631578947368421</v>
      </c>
      <c r="I249" s="6">
        <v>534</v>
      </c>
      <c r="J249" s="1">
        <f aca="true" t="shared" si="54" ref="J249:J259">I249/D249</f>
        <v>21.27793263157895</v>
      </c>
      <c r="L249" s="14"/>
    </row>
    <row r="250" spans="1:12" ht="12.75">
      <c r="A250" s="15">
        <v>82912</v>
      </c>
      <c r="B250" s="15" t="s">
        <v>170</v>
      </c>
      <c r="C250" s="5">
        <v>47</v>
      </c>
      <c r="D250" s="1">
        <f t="shared" si="52"/>
        <v>12.416125112273471</v>
      </c>
      <c r="E250" s="6">
        <v>36.5</v>
      </c>
      <c r="F250" t="s">
        <v>165</v>
      </c>
      <c r="G250" s="7">
        <f t="shared" si="51"/>
        <v>23.548387096774192</v>
      </c>
      <c r="H250" s="7">
        <f t="shared" si="53"/>
        <v>0.5010295126973232</v>
      </c>
      <c r="I250" s="6">
        <v>268</v>
      </c>
      <c r="J250" s="1">
        <f t="shared" si="54"/>
        <v>21.584834042553194</v>
      </c>
      <c r="L250" s="14"/>
    </row>
    <row r="251" spans="1:12" ht="12.75">
      <c r="A251" s="15"/>
      <c r="B251" s="15"/>
      <c r="D251" s="1">
        <f t="shared" si="52"/>
        <v>0</v>
      </c>
      <c r="G251" s="7">
        <f t="shared" si="51"/>
        <v>0</v>
      </c>
      <c r="H251" s="7" t="e">
        <f t="shared" si="53"/>
        <v>#DIV/0!</v>
      </c>
      <c r="I251" s="16"/>
      <c r="J251" s="1" t="e">
        <f t="shared" si="54"/>
        <v>#DIV/0!</v>
      </c>
      <c r="L251" s="14"/>
    </row>
    <row r="252" spans="1:12" ht="12.75">
      <c r="A252" s="15"/>
      <c r="B252" s="15"/>
      <c r="D252" s="1">
        <f t="shared" si="52"/>
        <v>0</v>
      </c>
      <c r="G252" s="7">
        <f t="shared" si="51"/>
        <v>0</v>
      </c>
      <c r="H252" s="7" t="e">
        <f t="shared" si="53"/>
        <v>#DIV/0!</v>
      </c>
      <c r="J252" s="1" t="e">
        <f t="shared" si="54"/>
        <v>#DIV/0!</v>
      </c>
      <c r="L252" s="14"/>
    </row>
    <row r="253" spans="1:10" ht="12.75">
      <c r="A253" s="15"/>
      <c r="B253" s="15"/>
      <c r="D253" s="1">
        <f t="shared" si="52"/>
        <v>0</v>
      </c>
      <c r="G253" s="7">
        <f t="shared" si="51"/>
        <v>0</v>
      </c>
      <c r="H253" s="7" t="e">
        <f t="shared" si="53"/>
        <v>#DIV/0!</v>
      </c>
      <c r="J253" s="1" t="e">
        <f t="shared" si="54"/>
        <v>#DIV/0!</v>
      </c>
    </row>
    <row r="254" spans="1:10" ht="12.75">
      <c r="A254" s="15"/>
      <c r="B254" s="15"/>
      <c r="D254" s="1">
        <f t="shared" si="52"/>
        <v>0</v>
      </c>
      <c r="G254" s="7">
        <f t="shared" si="51"/>
        <v>0</v>
      </c>
      <c r="H254" s="7" t="e">
        <f t="shared" si="53"/>
        <v>#DIV/0!</v>
      </c>
      <c r="J254" s="1" t="e">
        <f t="shared" si="54"/>
        <v>#DIV/0!</v>
      </c>
    </row>
    <row r="255" spans="1:10" ht="12.75">
      <c r="A255" s="15"/>
      <c r="B255" s="15"/>
      <c r="D255" s="1">
        <f t="shared" si="52"/>
        <v>0</v>
      </c>
      <c r="G255" s="7">
        <f t="shared" si="51"/>
        <v>0</v>
      </c>
      <c r="H255" s="7" t="e">
        <f t="shared" si="53"/>
        <v>#DIV/0!</v>
      </c>
      <c r="J255" s="1" t="e">
        <f t="shared" si="54"/>
        <v>#DIV/0!</v>
      </c>
    </row>
    <row r="256" spans="1:10" ht="12.75">
      <c r="A256" s="15"/>
      <c r="B256" s="15"/>
      <c r="D256" s="1">
        <f t="shared" si="52"/>
        <v>0</v>
      </c>
      <c r="G256" s="7">
        <f t="shared" si="51"/>
        <v>0</v>
      </c>
      <c r="H256" s="7" t="e">
        <f t="shared" si="53"/>
        <v>#DIV/0!</v>
      </c>
      <c r="J256" s="1" t="e">
        <f t="shared" si="54"/>
        <v>#DIV/0!</v>
      </c>
    </row>
    <row r="257" spans="1:10" ht="12.75">
      <c r="A257" s="15"/>
      <c r="B257" s="15"/>
      <c r="D257" s="1">
        <f t="shared" si="52"/>
        <v>0</v>
      </c>
      <c r="G257" s="7">
        <f t="shared" si="51"/>
        <v>0</v>
      </c>
      <c r="H257" s="7" t="e">
        <f t="shared" si="53"/>
        <v>#DIV/0!</v>
      </c>
      <c r="J257" s="1" t="e">
        <f t="shared" si="54"/>
        <v>#DIV/0!</v>
      </c>
    </row>
    <row r="258" spans="1:10" ht="12.75">
      <c r="A258" s="15"/>
      <c r="B258" s="15"/>
      <c r="D258" s="1">
        <f t="shared" si="52"/>
        <v>0</v>
      </c>
      <c r="G258" s="7">
        <f t="shared" si="51"/>
        <v>0</v>
      </c>
      <c r="H258" s="7" t="e">
        <f t="shared" si="53"/>
        <v>#DIV/0!</v>
      </c>
      <c r="J258" s="1" t="e">
        <f t="shared" si="54"/>
        <v>#DIV/0!</v>
      </c>
    </row>
    <row r="259" spans="1:10" ht="12.75">
      <c r="A259" s="15"/>
      <c r="B259" s="15"/>
      <c r="D259" s="1">
        <f t="shared" si="52"/>
        <v>0</v>
      </c>
      <c r="G259" s="7">
        <f t="shared" si="51"/>
        <v>0</v>
      </c>
      <c r="H259" s="7" t="e">
        <f t="shared" si="53"/>
        <v>#DIV/0!</v>
      </c>
      <c r="J259" s="1" t="e">
        <f t="shared" si="54"/>
        <v>#DIV/0!</v>
      </c>
    </row>
    <row r="260" spans="1:10" ht="12.75">
      <c r="A260" s="15"/>
      <c r="B260" s="15"/>
      <c r="D260" s="1"/>
      <c r="G260" s="7"/>
      <c r="H260" s="7"/>
      <c r="J260" s="1"/>
    </row>
    <row r="261" spans="4:10" ht="12.75">
      <c r="D261" s="1"/>
      <c r="G261" s="7"/>
      <c r="H261" s="7"/>
      <c r="J261" s="1"/>
    </row>
    <row r="262" spans="4:10" ht="12.75">
      <c r="D262" s="1"/>
      <c r="G262" s="7"/>
      <c r="H262" s="7"/>
      <c r="J262" s="1"/>
    </row>
    <row r="263" spans="1:12" ht="12.75">
      <c r="A263" s="9" t="s">
        <v>160</v>
      </c>
      <c r="B263" s="9"/>
      <c r="C263" s="10">
        <f>SUM(C247:C262)</f>
        <v>297</v>
      </c>
      <c r="D263" s="10">
        <f>SUM(D247:D262)</f>
        <v>78.45934379457918</v>
      </c>
      <c r="E263" s="12">
        <f>SUM(E247:E262)</f>
        <v>299.5</v>
      </c>
      <c r="F263" s="9"/>
      <c r="G263" s="11">
        <f>SUM(G247:G262)</f>
        <v>193.22580645161293</v>
      </c>
      <c r="H263" s="11" t="e">
        <f>SUM(H247:H262)</f>
        <v>#DIV/0!</v>
      </c>
      <c r="I263" s="12">
        <f>SUM(I247:I262)</f>
        <v>1678</v>
      </c>
      <c r="J263" s="10">
        <f>I263/D263</f>
        <v>21.386872727272724</v>
      </c>
      <c r="L263" s="14">
        <f>($J$306-J263)/$J$306</f>
        <v>0.014855715632560152</v>
      </c>
    </row>
    <row r="264" spans="1:12" ht="12.75">
      <c r="A264" s="9"/>
      <c r="B264" s="9"/>
      <c r="C264" s="10"/>
      <c r="D264" s="10"/>
      <c r="E264" s="12"/>
      <c r="F264" s="9"/>
      <c r="G264" s="11"/>
      <c r="H264" s="11"/>
      <c r="I264" s="12"/>
      <c r="J264" s="10"/>
      <c r="L264" s="14"/>
    </row>
    <row r="265" ht="12.75">
      <c r="A265" s="9" t="s">
        <v>31</v>
      </c>
    </row>
    <row r="266" spans="1:12" ht="12.75">
      <c r="A266" t="s">
        <v>12</v>
      </c>
      <c r="B266" t="s">
        <v>13</v>
      </c>
      <c r="C266" s="5" t="s">
        <v>15</v>
      </c>
      <c r="D266" t="s">
        <v>21</v>
      </c>
      <c r="E266" s="6" t="s">
        <v>16</v>
      </c>
      <c r="F266" t="s">
        <v>18</v>
      </c>
      <c r="G266" s="3" t="s">
        <v>19</v>
      </c>
      <c r="H266" t="s">
        <v>26</v>
      </c>
      <c r="I266" s="6" t="s">
        <v>20</v>
      </c>
      <c r="J266" t="s">
        <v>3</v>
      </c>
      <c r="K266" t="s">
        <v>32</v>
      </c>
      <c r="L266" t="s">
        <v>66</v>
      </c>
    </row>
    <row r="267" spans="1:12" ht="12.75">
      <c r="A267" s="15">
        <v>83293</v>
      </c>
      <c r="B267" s="15" t="s">
        <v>171</v>
      </c>
      <c r="C267" s="1">
        <v>52</v>
      </c>
      <c r="D267" s="1">
        <f>C267/3.7854</f>
        <v>13.736989485919585</v>
      </c>
      <c r="E267" s="6">
        <v>390</v>
      </c>
      <c r="F267" t="s">
        <v>172</v>
      </c>
      <c r="G267" s="7">
        <f>E267/15</f>
        <v>26</v>
      </c>
      <c r="H267" s="7">
        <f>G267/C267</f>
        <v>0.5</v>
      </c>
      <c r="I267" s="6">
        <v>380</v>
      </c>
      <c r="J267" s="1">
        <f>I267/D267</f>
        <v>27.662538461538464</v>
      </c>
      <c r="K267" t="s">
        <v>174</v>
      </c>
      <c r="L267" s="14">
        <f>($J$306-J267)/$J$306</f>
        <v>-0.2742204998362209</v>
      </c>
    </row>
    <row r="268" spans="1:12" ht="12.75">
      <c r="A268" s="15">
        <v>83604</v>
      </c>
      <c r="B268" s="15" t="s">
        <v>173</v>
      </c>
      <c r="C268" s="1">
        <v>55</v>
      </c>
      <c r="D268" s="1">
        <f>C268/3.7854</f>
        <v>14.529508110107253</v>
      </c>
      <c r="E268" s="6">
        <v>420</v>
      </c>
      <c r="F268" t="s">
        <v>172</v>
      </c>
      <c r="G268" s="7">
        <f aca="true" t="shared" si="55" ref="G268:G279">E268/15</f>
        <v>28</v>
      </c>
      <c r="H268" s="7">
        <f>G268/C268</f>
        <v>0.509090909090909</v>
      </c>
      <c r="I268" s="6">
        <v>310</v>
      </c>
      <c r="J268" s="1">
        <f>I268/D268</f>
        <v>21.33589090909091</v>
      </c>
      <c r="L268" s="14">
        <f>($J$306-J268)/$J$306</f>
        <v>0.017204092949288066</v>
      </c>
    </row>
    <row r="269" spans="1:12" ht="12.75">
      <c r="A269" s="15">
        <v>84069</v>
      </c>
      <c r="B269" s="15" t="s">
        <v>175</v>
      </c>
      <c r="C269" s="1">
        <v>80</v>
      </c>
      <c r="D269" s="1">
        <f aca="true" t="shared" si="56" ref="D269:D279">C269/3.7854</f>
        <v>21.133829978337825</v>
      </c>
      <c r="E269" s="6">
        <v>610</v>
      </c>
      <c r="F269" t="s">
        <v>172</v>
      </c>
      <c r="G269" s="7">
        <f t="shared" si="55"/>
        <v>40.666666666666664</v>
      </c>
      <c r="H269" s="7">
        <f aca="true" t="shared" si="57" ref="H269:H279">G269/C269</f>
        <v>0.5083333333333333</v>
      </c>
      <c r="I269" s="6">
        <v>465</v>
      </c>
      <c r="J269" s="1">
        <f aca="true" t="shared" si="58" ref="J269:J279">I269/D269</f>
        <v>22.0026375</v>
      </c>
      <c r="L269" s="14"/>
    </row>
    <row r="270" spans="1:12" ht="12.75">
      <c r="A270" s="15">
        <v>84455</v>
      </c>
      <c r="B270" s="15" t="s">
        <v>177</v>
      </c>
      <c r="C270" s="5">
        <v>69</v>
      </c>
      <c r="D270" s="1">
        <f t="shared" si="56"/>
        <v>18.227928356316372</v>
      </c>
      <c r="E270" s="6">
        <v>520</v>
      </c>
      <c r="F270" t="s">
        <v>172</v>
      </c>
      <c r="G270" s="7">
        <f t="shared" si="55"/>
        <v>34.666666666666664</v>
      </c>
      <c r="H270" s="7">
        <f t="shared" si="57"/>
        <v>0.5024154589371981</v>
      </c>
      <c r="I270" s="6">
        <v>385</v>
      </c>
      <c r="J270" s="1">
        <f t="shared" si="58"/>
        <v>21.1214347826087</v>
      </c>
      <c r="L270" s="14"/>
    </row>
    <row r="271" spans="1:12" ht="12.75">
      <c r="A271" s="15">
        <v>84809</v>
      </c>
      <c r="B271" s="15" t="s">
        <v>178</v>
      </c>
      <c r="C271" s="1">
        <v>55</v>
      </c>
      <c r="D271" s="1">
        <f t="shared" si="56"/>
        <v>14.529508110107253</v>
      </c>
      <c r="E271" s="6">
        <v>420</v>
      </c>
      <c r="F271" t="s">
        <v>172</v>
      </c>
      <c r="G271" s="7">
        <f t="shared" si="55"/>
        <v>28</v>
      </c>
      <c r="H271" s="7">
        <f t="shared" si="57"/>
        <v>0.509090909090909</v>
      </c>
      <c r="I271" s="16">
        <v>354</v>
      </c>
      <c r="J271" s="1">
        <f t="shared" si="58"/>
        <v>24.36421090909091</v>
      </c>
      <c r="L271" s="14"/>
    </row>
    <row r="272" spans="1:12" ht="12.75">
      <c r="A272" s="15"/>
      <c r="B272" s="15"/>
      <c r="D272" s="1">
        <f t="shared" si="56"/>
        <v>0</v>
      </c>
      <c r="G272" s="7">
        <f t="shared" si="55"/>
        <v>0</v>
      </c>
      <c r="H272" s="7" t="e">
        <f t="shared" si="57"/>
        <v>#DIV/0!</v>
      </c>
      <c r="J272" s="1" t="e">
        <f t="shared" si="58"/>
        <v>#DIV/0!</v>
      </c>
      <c r="L272" s="14"/>
    </row>
    <row r="273" spans="1:10" ht="12.75">
      <c r="A273" s="15"/>
      <c r="B273" s="15"/>
      <c r="D273" s="1">
        <f t="shared" si="56"/>
        <v>0</v>
      </c>
      <c r="G273" s="7">
        <f t="shared" si="55"/>
        <v>0</v>
      </c>
      <c r="H273" s="7" t="e">
        <f t="shared" si="57"/>
        <v>#DIV/0!</v>
      </c>
      <c r="J273" s="1" t="e">
        <f t="shared" si="58"/>
        <v>#DIV/0!</v>
      </c>
    </row>
    <row r="274" spans="1:10" ht="12.75">
      <c r="A274" s="15"/>
      <c r="B274" s="15"/>
      <c r="D274" s="1">
        <f t="shared" si="56"/>
        <v>0</v>
      </c>
      <c r="G274" s="7">
        <f t="shared" si="55"/>
        <v>0</v>
      </c>
      <c r="H274" s="7" t="e">
        <f t="shared" si="57"/>
        <v>#DIV/0!</v>
      </c>
      <c r="J274" s="1" t="e">
        <f t="shared" si="58"/>
        <v>#DIV/0!</v>
      </c>
    </row>
    <row r="275" spans="1:10" ht="12.75">
      <c r="A275" s="15"/>
      <c r="B275" s="15"/>
      <c r="D275" s="1">
        <f t="shared" si="56"/>
        <v>0</v>
      </c>
      <c r="G275" s="7">
        <f t="shared" si="55"/>
        <v>0</v>
      </c>
      <c r="H275" s="7" t="e">
        <f t="shared" si="57"/>
        <v>#DIV/0!</v>
      </c>
      <c r="J275" s="1" t="e">
        <f t="shared" si="58"/>
        <v>#DIV/0!</v>
      </c>
    </row>
    <row r="276" spans="1:10" ht="12.75">
      <c r="A276" s="15"/>
      <c r="B276" s="15"/>
      <c r="D276" s="1">
        <f t="shared" si="56"/>
        <v>0</v>
      </c>
      <c r="G276" s="7">
        <f t="shared" si="55"/>
        <v>0</v>
      </c>
      <c r="H276" s="7" t="e">
        <f t="shared" si="57"/>
        <v>#DIV/0!</v>
      </c>
      <c r="J276" s="1" t="e">
        <f t="shared" si="58"/>
        <v>#DIV/0!</v>
      </c>
    </row>
    <row r="277" spans="1:10" ht="12.75">
      <c r="A277" s="15"/>
      <c r="B277" s="15"/>
      <c r="D277" s="1">
        <f t="shared" si="56"/>
        <v>0</v>
      </c>
      <c r="G277" s="7">
        <f t="shared" si="55"/>
        <v>0</v>
      </c>
      <c r="H277" s="7" t="e">
        <f t="shared" si="57"/>
        <v>#DIV/0!</v>
      </c>
      <c r="J277" s="1" t="e">
        <f t="shared" si="58"/>
        <v>#DIV/0!</v>
      </c>
    </row>
    <row r="278" spans="1:10" ht="12.75">
      <c r="A278" s="15"/>
      <c r="B278" s="15"/>
      <c r="D278" s="1">
        <f t="shared" si="56"/>
        <v>0</v>
      </c>
      <c r="G278" s="7">
        <f t="shared" si="55"/>
        <v>0</v>
      </c>
      <c r="H278" s="7" t="e">
        <f t="shared" si="57"/>
        <v>#DIV/0!</v>
      </c>
      <c r="J278" s="1" t="e">
        <f t="shared" si="58"/>
        <v>#DIV/0!</v>
      </c>
    </row>
    <row r="279" spans="1:10" ht="12.75">
      <c r="A279" s="15"/>
      <c r="B279" s="15"/>
      <c r="D279" s="1">
        <f t="shared" si="56"/>
        <v>0</v>
      </c>
      <c r="G279" s="7">
        <f t="shared" si="55"/>
        <v>0</v>
      </c>
      <c r="H279" s="7" t="e">
        <f t="shared" si="57"/>
        <v>#DIV/0!</v>
      </c>
      <c r="J279" s="1" t="e">
        <f t="shared" si="58"/>
        <v>#DIV/0!</v>
      </c>
    </row>
    <row r="280" spans="1:10" ht="12.75">
      <c r="A280" s="15"/>
      <c r="B280" s="15"/>
      <c r="D280" s="1"/>
      <c r="G280" s="7"/>
      <c r="H280" s="7"/>
      <c r="J280" s="1"/>
    </row>
    <row r="281" spans="4:10" ht="12.75">
      <c r="D281" s="1"/>
      <c r="G281" s="7"/>
      <c r="H281" s="7"/>
      <c r="J281" s="1"/>
    </row>
    <row r="282" spans="4:10" ht="12.75">
      <c r="D282" s="1"/>
      <c r="G282" s="7"/>
      <c r="H282" s="7"/>
      <c r="J282" s="1"/>
    </row>
    <row r="283" spans="1:12" ht="12.75">
      <c r="A283" s="9" t="s">
        <v>168</v>
      </c>
      <c r="B283" s="9"/>
      <c r="C283" s="10">
        <f>SUM(C267:C282)</f>
        <v>311</v>
      </c>
      <c r="D283" s="10">
        <f>SUM(D267:D282)</f>
        <v>82.1577640407883</v>
      </c>
      <c r="E283" s="12">
        <f>SUM(E267:E282)</f>
        <v>2360</v>
      </c>
      <c r="F283" s="9"/>
      <c r="G283" s="11">
        <f>SUM(G267:G282)</f>
        <v>157.33333333333331</v>
      </c>
      <c r="H283" s="11" t="e">
        <f>SUM(H267:H282)</f>
        <v>#DIV/0!</v>
      </c>
      <c r="I283" s="12">
        <f>SUM(I267:I282)</f>
        <v>1894</v>
      </c>
      <c r="J283" s="10">
        <f>I283/D283</f>
        <v>23.0532077170418</v>
      </c>
      <c r="L283" s="14">
        <f>($J$306-J283)/$J$306</f>
        <v>-0.06190073267786181</v>
      </c>
    </row>
    <row r="284" spans="1:12" ht="12.75">
      <c r="A284" s="9"/>
      <c r="B284" s="9"/>
      <c r="C284" s="10"/>
      <c r="D284" s="10"/>
      <c r="E284" s="12"/>
      <c r="F284" s="9"/>
      <c r="G284" s="11"/>
      <c r="H284" s="11"/>
      <c r="I284" s="12"/>
      <c r="J284" s="10"/>
      <c r="L284" s="14"/>
    </row>
    <row r="285" ht="12.75">
      <c r="A285" s="9" t="s">
        <v>31</v>
      </c>
    </row>
    <row r="286" spans="1:12" ht="12.75">
      <c r="A286" t="s">
        <v>12</v>
      </c>
      <c r="B286" t="s">
        <v>13</v>
      </c>
      <c r="C286" s="5" t="s">
        <v>15</v>
      </c>
      <c r="D286" t="s">
        <v>21</v>
      </c>
      <c r="E286" s="6" t="s">
        <v>16</v>
      </c>
      <c r="F286" t="s">
        <v>18</v>
      </c>
      <c r="G286" s="3" t="s">
        <v>19</v>
      </c>
      <c r="H286" t="s">
        <v>26</v>
      </c>
      <c r="I286" s="6" t="s">
        <v>20</v>
      </c>
      <c r="J286" t="s">
        <v>3</v>
      </c>
      <c r="K286" t="s">
        <v>32</v>
      </c>
      <c r="L286" t="s">
        <v>66</v>
      </c>
    </row>
    <row r="287" spans="1:12" ht="12.75">
      <c r="A287" s="15">
        <v>85360</v>
      </c>
      <c r="B287" s="15" t="s">
        <v>179</v>
      </c>
      <c r="C287" s="1">
        <v>97</v>
      </c>
      <c r="D287" s="1">
        <f>C287/3.7854</f>
        <v>25.62476884873461</v>
      </c>
      <c r="E287" s="6">
        <v>95</v>
      </c>
      <c r="F287" t="s">
        <v>165</v>
      </c>
      <c r="G287" s="7">
        <f>E287/1.55</f>
        <v>61.29032258064516</v>
      </c>
      <c r="H287" s="7">
        <f>G287/C287</f>
        <v>0.6318589956767542</v>
      </c>
      <c r="I287" s="6">
        <v>550</v>
      </c>
      <c r="J287" s="1">
        <f>I287/D287</f>
        <v>21.46360824742268</v>
      </c>
      <c r="L287" s="14">
        <f>($J$306-J287)/$J$306</f>
        <v>0.011321044619752758</v>
      </c>
    </row>
    <row r="288" spans="1:12" ht="12.75">
      <c r="A288" s="15">
        <v>85707</v>
      </c>
      <c r="B288" s="15" t="s">
        <v>180</v>
      </c>
      <c r="C288" s="1">
        <v>53</v>
      </c>
      <c r="D288" s="1">
        <f>C288/3.7854</f>
        <v>14.001162360648808</v>
      </c>
      <c r="E288" s="6">
        <v>52</v>
      </c>
      <c r="F288" t="s">
        <v>165</v>
      </c>
      <c r="G288" s="7">
        <f aca="true" t="shared" si="59" ref="G288:G299">E288/1.55</f>
        <v>33.54838709677419</v>
      </c>
      <c r="H288" s="7">
        <f>G288/C288</f>
        <v>0.6329884357881923</v>
      </c>
      <c r="I288" s="6">
        <v>346</v>
      </c>
      <c r="J288" s="1">
        <f>I288/D288</f>
        <v>24.712233962264154</v>
      </c>
      <c r="L288" s="14">
        <f>($J$306-J288)/$J$306</f>
        <v>-0.13832051802647896</v>
      </c>
    </row>
    <row r="289" spans="1:12" ht="12.75">
      <c r="A289" s="15">
        <v>86230</v>
      </c>
      <c r="B289" s="15" t="s">
        <v>181</v>
      </c>
      <c r="C289" s="1">
        <v>88</v>
      </c>
      <c r="D289" s="1">
        <f aca="true" t="shared" si="60" ref="D289:D299">C289/3.7854</f>
        <v>23.247212976171607</v>
      </c>
      <c r="E289" s="6">
        <v>95</v>
      </c>
      <c r="F289" t="s">
        <v>165</v>
      </c>
      <c r="G289" s="7">
        <f t="shared" si="59"/>
        <v>61.29032258064516</v>
      </c>
      <c r="H289" s="7">
        <f aca="true" t="shared" si="61" ref="H289:H299">G289/C289</f>
        <v>0.6964809384164222</v>
      </c>
      <c r="I289" s="6">
        <v>522</v>
      </c>
      <c r="J289" s="1">
        <f aca="true" t="shared" si="62" ref="J289:J299">I289/D289</f>
        <v>22.454304545454544</v>
      </c>
      <c r="L289" s="14"/>
    </row>
    <row r="290" spans="1:12" ht="12.75">
      <c r="A290" s="15"/>
      <c r="B290" s="15"/>
      <c r="C290" s="5"/>
      <c r="D290" s="1">
        <f t="shared" si="60"/>
        <v>0</v>
      </c>
      <c r="F290" t="s">
        <v>165</v>
      </c>
      <c r="G290" s="7">
        <f t="shared" si="59"/>
        <v>0</v>
      </c>
      <c r="H290" s="7" t="e">
        <f t="shared" si="61"/>
        <v>#DIV/0!</v>
      </c>
      <c r="J290" s="1" t="e">
        <f t="shared" si="62"/>
        <v>#DIV/0!</v>
      </c>
      <c r="L290" s="14"/>
    </row>
    <row r="291" spans="1:12" ht="12.75">
      <c r="A291" s="15"/>
      <c r="B291" s="15"/>
      <c r="D291" s="1">
        <f t="shared" si="60"/>
        <v>0</v>
      </c>
      <c r="G291" s="7">
        <f t="shared" si="59"/>
        <v>0</v>
      </c>
      <c r="H291" s="7" t="e">
        <f t="shared" si="61"/>
        <v>#DIV/0!</v>
      </c>
      <c r="I291" s="16"/>
      <c r="J291" s="1" t="e">
        <f t="shared" si="62"/>
        <v>#DIV/0!</v>
      </c>
      <c r="L291" s="14"/>
    </row>
    <row r="292" spans="1:12" ht="12.75">
      <c r="A292" s="15"/>
      <c r="B292" s="15"/>
      <c r="D292" s="1">
        <f t="shared" si="60"/>
        <v>0</v>
      </c>
      <c r="G292" s="7">
        <f t="shared" si="59"/>
        <v>0</v>
      </c>
      <c r="H292" s="7" t="e">
        <f t="shared" si="61"/>
        <v>#DIV/0!</v>
      </c>
      <c r="J292" s="1" t="e">
        <f t="shared" si="62"/>
        <v>#DIV/0!</v>
      </c>
      <c r="L292" s="14"/>
    </row>
    <row r="293" spans="1:10" ht="12.75">
      <c r="A293" s="15"/>
      <c r="B293" s="15"/>
      <c r="D293" s="1">
        <f t="shared" si="60"/>
        <v>0</v>
      </c>
      <c r="G293" s="7">
        <f t="shared" si="59"/>
        <v>0</v>
      </c>
      <c r="H293" s="7" t="e">
        <f t="shared" si="61"/>
        <v>#DIV/0!</v>
      </c>
      <c r="J293" s="1" t="e">
        <f t="shared" si="62"/>
        <v>#DIV/0!</v>
      </c>
    </row>
    <row r="294" spans="1:10" ht="12.75">
      <c r="A294" s="15"/>
      <c r="B294" s="15"/>
      <c r="D294" s="1">
        <f t="shared" si="60"/>
        <v>0</v>
      </c>
      <c r="G294" s="7">
        <f t="shared" si="59"/>
        <v>0</v>
      </c>
      <c r="H294" s="7" t="e">
        <f t="shared" si="61"/>
        <v>#DIV/0!</v>
      </c>
      <c r="J294" s="1" t="e">
        <f t="shared" si="62"/>
        <v>#DIV/0!</v>
      </c>
    </row>
    <row r="295" spans="1:10" ht="12.75">
      <c r="A295" s="15"/>
      <c r="B295" s="15"/>
      <c r="D295" s="1">
        <f t="shared" si="60"/>
        <v>0</v>
      </c>
      <c r="G295" s="7">
        <f t="shared" si="59"/>
        <v>0</v>
      </c>
      <c r="H295" s="7" t="e">
        <f t="shared" si="61"/>
        <v>#DIV/0!</v>
      </c>
      <c r="J295" s="1" t="e">
        <f t="shared" si="62"/>
        <v>#DIV/0!</v>
      </c>
    </row>
    <row r="296" spans="1:10" ht="12.75">
      <c r="A296" s="15"/>
      <c r="B296" s="15"/>
      <c r="D296" s="1">
        <f t="shared" si="60"/>
        <v>0</v>
      </c>
      <c r="G296" s="7">
        <f t="shared" si="59"/>
        <v>0</v>
      </c>
      <c r="H296" s="7" t="e">
        <f t="shared" si="61"/>
        <v>#DIV/0!</v>
      </c>
      <c r="J296" s="1" t="e">
        <f t="shared" si="62"/>
        <v>#DIV/0!</v>
      </c>
    </row>
    <row r="297" spans="1:10" ht="12.75">
      <c r="A297" s="15"/>
      <c r="B297" s="15"/>
      <c r="D297" s="1">
        <f t="shared" si="60"/>
        <v>0</v>
      </c>
      <c r="G297" s="7">
        <f t="shared" si="59"/>
        <v>0</v>
      </c>
      <c r="H297" s="7" t="e">
        <f t="shared" si="61"/>
        <v>#DIV/0!</v>
      </c>
      <c r="J297" s="1" t="e">
        <f t="shared" si="62"/>
        <v>#DIV/0!</v>
      </c>
    </row>
    <row r="298" spans="1:10" ht="12.75">
      <c r="A298" s="15"/>
      <c r="B298" s="15"/>
      <c r="D298" s="1">
        <f t="shared" si="60"/>
        <v>0</v>
      </c>
      <c r="G298" s="7">
        <f t="shared" si="59"/>
        <v>0</v>
      </c>
      <c r="H298" s="7" t="e">
        <f t="shared" si="61"/>
        <v>#DIV/0!</v>
      </c>
      <c r="J298" s="1" t="e">
        <f t="shared" si="62"/>
        <v>#DIV/0!</v>
      </c>
    </row>
    <row r="299" spans="1:10" ht="12.75">
      <c r="A299" s="15"/>
      <c r="B299" s="15"/>
      <c r="D299" s="1">
        <f t="shared" si="60"/>
        <v>0</v>
      </c>
      <c r="G299" s="7">
        <f t="shared" si="59"/>
        <v>0</v>
      </c>
      <c r="H299" s="7" t="e">
        <f t="shared" si="61"/>
        <v>#DIV/0!</v>
      </c>
      <c r="J299" s="1" t="e">
        <f t="shared" si="62"/>
        <v>#DIV/0!</v>
      </c>
    </row>
    <row r="300" spans="1:10" ht="12.75">
      <c r="A300" s="15"/>
      <c r="B300" s="15"/>
      <c r="D300" s="1"/>
      <c r="G300" s="7"/>
      <c r="H300" s="7"/>
      <c r="J300" s="1"/>
    </row>
    <row r="301" spans="4:10" ht="12.75">
      <c r="D301" s="1"/>
      <c r="G301" s="7"/>
      <c r="H301" s="7"/>
      <c r="J301" s="1"/>
    </row>
    <row r="302" spans="4:10" ht="12.75">
      <c r="D302" s="1"/>
      <c r="G302" s="7"/>
      <c r="H302" s="7"/>
      <c r="J302" s="1"/>
    </row>
    <row r="303" spans="1:12" ht="12.75">
      <c r="A303" s="9" t="s">
        <v>160</v>
      </c>
      <c r="B303" s="9"/>
      <c r="C303" s="10">
        <f>SUM(C287:C302)</f>
        <v>238</v>
      </c>
      <c r="D303" s="10">
        <f>SUM(D287:D302)</f>
        <v>62.87314418555502</v>
      </c>
      <c r="E303" s="12">
        <f>SUM(E287:E302)</f>
        <v>242</v>
      </c>
      <c r="F303" s="9"/>
      <c r="G303" s="11">
        <f>SUM(G287:G302)</f>
        <v>156.1290322580645</v>
      </c>
      <c r="H303" s="11" t="e">
        <f>SUM(H287:H302)</f>
        <v>#DIV/0!</v>
      </c>
      <c r="I303" s="12">
        <f>SUM(I287:I302)</f>
        <v>1418</v>
      </c>
      <c r="J303" s="10">
        <f>I303/D303</f>
        <v>22.553349579831934</v>
      </c>
      <c r="L303" s="14">
        <f>($J$306-J303)/$J$306</f>
        <v>-0.03887574940207408</v>
      </c>
    </row>
    <row r="306" spans="1:12" ht="12.75">
      <c r="A306" s="9" t="s">
        <v>45</v>
      </c>
      <c r="B306" s="9"/>
      <c r="C306" s="10">
        <f>C32+C48+C63+C78+C93+C108+C123+C138+C153+C168+C183+C203+C223+C243+C263+C283+C303</f>
        <v>6060.3</v>
      </c>
      <c r="D306" s="10">
        <f>D32+D48+D63+D78+D93+D108+D123+D138+D153+D168+D183+D203+D223+D243+D263+D283+D303</f>
        <v>1600.966872721509</v>
      </c>
      <c r="E306" s="12"/>
      <c r="F306" s="9"/>
      <c r="G306" s="11">
        <f>G32+G48+G63+G78+G93+G108+G123+G138+G153+G168+G183+G203+G223+G243+G263+G283+G303</f>
        <v>2526.0904246164114</v>
      </c>
      <c r="H306" s="11">
        <f>G306/C306</f>
        <v>0.4168259697731814</v>
      </c>
      <c r="I306" s="12">
        <f>I32+I48+I63+I78+I93+I108+I123+I138+I153+I168+I183+I203+I223+I243+I263+I283+I303</f>
        <v>34756</v>
      </c>
      <c r="J306" s="10">
        <f>I306/D306</f>
        <v>21.70938111974655</v>
      </c>
      <c r="L306" s="14">
        <f>($J$306-J306)/$J$306</f>
        <v>0</v>
      </c>
    </row>
    <row r="307" spans="3:12" ht="12.75">
      <c r="C307" s="5" t="s">
        <v>15</v>
      </c>
      <c r="D307" t="s">
        <v>21</v>
      </c>
      <c r="G307" s="3" t="s">
        <v>19</v>
      </c>
      <c r="H307" t="s">
        <v>26</v>
      </c>
      <c r="I307" s="6" t="s">
        <v>20</v>
      </c>
      <c r="J307" t="s">
        <v>3</v>
      </c>
      <c r="K307" t="s">
        <v>32</v>
      </c>
      <c r="L307" t="s">
        <v>66</v>
      </c>
    </row>
  </sheetData>
  <printOptions/>
  <pageMargins left="0.75" right="0.75" top="1" bottom="1" header="0.5" footer="0.5"/>
  <pageSetup horizontalDpi="204" verticalDpi="204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5">
      <selection activeCell="A1" sqref="A1:I29"/>
    </sheetView>
  </sheetViews>
  <sheetFormatPr defaultColWidth="9.140625" defaultRowHeight="12.75"/>
  <cols>
    <col min="1" max="1" width="14.421875" style="0" customWidth="1"/>
    <col min="2" max="2" width="10.421875" style="28" customWidth="1"/>
    <col min="3" max="3" width="11.57421875" style="6" customWidth="1"/>
    <col min="4" max="4" width="11.421875" style="6" customWidth="1"/>
    <col min="5" max="6" width="10.140625" style="0" bestFit="1" customWidth="1"/>
    <col min="7" max="7" width="10.28125" style="25" customWidth="1"/>
    <col min="8" max="8" width="13.421875" style="25" bestFit="1" customWidth="1"/>
    <col min="9" max="9" width="12.57421875" style="3" bestFit="1" customWidth="1"/>
  </cols>
  <sheetData>
    <row r="1" ht="30">
      <c r="A1" s="20" t="s">
        <v>111</v>
      </c>
    </row>
    <row r="2" ht="13.5" thickBot="1"/>
    <row r="3" spans="1:9" s="24" customFormat="1" ht="13.5" customHeight="1" thickTop="1">
      <c r="A3" s="21" t="s">
        <v>93</v>
      </c>
      <c r="B3" s="29" t="s">
        <v>94</v>
      </c>
      <c r="C3" s="22" t="s">
        <v>95</v>
      </c>
      <c r="D3" s="22" t="s">
        <v>96</v>
      </c>
      <c r="E3" s="23" t="s">
        <v>105</v>
      </c>
      <c r="F3" s="23" t="s">
        <v>106</v>
      </c>
      <c r="G3" s="26" t="s">
        <v>107</v>
      </c>
      <c r="H3" s="26" t="s">
        <v>108</v>
      </c>
      <c r="I3" s="26" t="s">
        <v>144</v>
      </c>
    </row>
    <row r="4" spans="1:9" ht="12.75">
      <c r="A4" s="18" t="s">
        <v>97</v>
      </c>
      <c r="B4" s="30">
        <f>51920-462</f>
        <v>51458</v>
      </c>
      <c r="C4" s="31">
        <v>55494</v>
      </c>
      <c r="D4" s="31">
        <f>C4-B4</f>
        <v>4036</v>
      </c>
      <c r="E4" s="19">
        <v>38537</v>
      </c>
      <c r="F4" s="19">
        <v>38568</v>
      </c>
      <c r="G4" s="32">
        <f>F4-E4</f>
        <v>31</v>
      </c>
      <c r="H4" s="32">
        <f aca="true" t="shared" si="0" ref="H4:H16">D4/G4</f>
        <v>130.19354838709677</v>
      </c>
      <c r="I4" s="32">
        <v>110</v>
      </c>
    </row>
    <row r="5" spans="1:9" ht="12.75">
      <c r="A5" s="18" t="s">
        <v>98</v>
      </c>
      <c r="B5" s="30">
        <f>C4</f>
        <v>55494</v>
      </c>
      <c r="C5" s="31">
        <v>58831</v>
      </c>
      <c r="D5" s="31">
        <f aca="true" t="shared" si="1" ref="D5:D13">C5-B5</f>
        <v>3337</v>
      </c>
      <c r="E5" s="19">
        <f>F4</f>
        <v>38568</v>
      </c>
      <c r="F5" s="19">
        <v>38591</v>
      </c>
      <c r="G5" s="32">
        <f aca="true" t="shared" si="2" ref="G5:G13">F5-E5</f>
        <v>23</v>
      </c>
      <c r="H5" s="32">
        <f t="shared" si="0"/>
        <v>145.08695652173913</v>
      </c>
      <c r="I5" s="32">
        <v>130</v>
      </c>
    </row>
    <row r="6" spans="1:9" ht="12.75">
      <c r="A6" s="18" t="s">
        <v>99</v>
      </c>
      <c r="B6" s="30">
        <f aca="true" t="shared" si="3" ref="B6:B13">C5</f>
        <v>58831</v>
      </c>
      <c r="C6" s="31">
        <v>60985</v>
      </c>
      <c r="D6" s="31">
        <f t="shared" si="1"/>
        <v>2154</v>
      </c>
      <c r="E6" s="19">
        <f aca="true" t="shared" si="4" ref="E6:E13">F5</f>
        <v>38591</v>
      </c>
      <c r="F6" s="19">
        <v>38616</v>
      </c>
      <c r="G6" s="32">
        <f t="shared" si="2"/>
        <v>25</v>
      </c>
      <c r="H6" s="32">
        <f t="shared" si="0"/>
        <v>86.16</v>
      </c>
      <c r="I6" s="32">
        <v>407</v>
      </c>
    </row>
    <row r="7" spans="1:9" ht="12.75">
      <c r="A7" s="18" t="s">
        <v>100</v>
      </c>
      <c r="B7" s="30">
        <f t="shared" si="3"/>
        <v>60985</v>
      </c>
      <c r="C7" s="31">
        <v>62341</v>
      </c>
      <c r="D7" s="31">
        <f t="shared" si="1"/>
        <v>1356</v>
      </c>
      <c r="E7" s="19">
        <f t="shared" si="4"/>
        <v>38616</v>
      </c>
      <c r="F7" s="19">
        <v>38629</v>
      </c>
      <c r="G7" s="32">
        <f t="shared" si="2"/>
        <v>13</v>
      </c>
      <c r="H7" s="32">
        <f t="shared" si="0"/>
        <v>104.3076923076923</v>
      </c>
      <c r="I7" s="32">
        <v>79</v>
      </c>
    </row>
    <row r="8" spans="1:9" ht="12.75">
      <c r="A8" s="18" t="s">
        <v>102</v>
      </c>
      <c r="B8" s="30">
        <f t="shared" si="3"/>
        <v>62341</v>
      </c>
      <c r="C8" s="31">
        <v>62735</v>
      </c>
      <c r="D8" s="31">
        <f t="shared" si="1"/>
        <v>394</v>
      </c>
      <c r="E8" s="19">
        <f t="shared" si="4"/>
        <v>38629</v>
      </c>
      <c r="F8" s="19">
        <v>38636</v>
      </c>
      <c r="G8" s="32">
        <f t="shared" si="2"/>
        <v>7</v>
      </c>
      <c r="H8" s="32">
        <f t="shared" si="0"/>
        <v>56.285714285714285</v>
      </c>
      <c r="I8" s="32">
        <v>34</v>
      </c>
    </row>
    <row r="9" spans="1:9" ht="12.75">
      <c r="A9" s="18" t="s">
        <v>101</v>
      </c>
      <c r="B9" s="30">
        <f t="shared" si="3"/>
        <v>62735</v>
      </c>
      <c r="C9" s="31">
        <v>63874</v>
      </c>
      <c r="D9" s="31">
        <f t="shared" si="1"/>
        <v>1139</v>
      </c>
      <c r="E9" s="19">
        <f t="shared" si="4"/>
        <v>38636</v>
      </c>
      <c r="F9" s="19">
        <v>38643</v>
      </c>
      <c r="G9" s="32">
        <f t="shared" si="2"/>
        <v>7</v>
      </c>
      <c r="H9" s="32">
        <f t="shared" si="0"/>
        <v>162.71428571428572</v>
      </c>
      <c r="I9" s="32">
        <v>6</v>
      </c>
    </row>
    <row r="10" spans="1:9" ht="12.75">
      <c r="A10" s="18" t="s">
        <v>102</v>
      </c>
      <c r="B10" s="30">
        <f t="shared" si="3"/>
        <v>63874</v>
      </c>
      <c r="C10" s="31">
        <v>65054</v>
      </c>
      <c r="D10" s="31">
        <f t="shared" si="1"/>
        <v>1180</v>
      </c>
      <c r="E10" s="19">
        <f t="shared" si="4"/>
        <v>38643</v>
      </c>
      <c r="F10" s="19">
        <v>38656</v>
      </c>
      <c r="G10" s="32">
        <f t="shared" si="2"/>
        <v>13</v>
      </c>
      <c r="H10" s="32">
        <f t="shared" si="0"/>
        <v>90.76923076923077</v>
      </c>
      <c r="I10" s="32"/>
    </row>
    <row r="11" spans="1:9" ht="12.75">
      <c r="A11" s="18" t="s">
        <v>103</v>
      </c>
      <c r="B11" s="30">
        <f t="shared" si="3"/>
        <v>65054</v>
      </c>
      <c r="C11" s="31">
        <v>68009</v>
      </c>
      <c r="D11" s="31">
        <f t="shared" si="1"/>
        <v>2955</v>
      </c>
      <c r="E11" s="19">
        <f t="shared" si="4"/>
        <v>38656</v>
      </c>
      <c r="F11" s="19">
        <v>38685</v>
      </c>
      <c r="G11" s="32">
        <f t="shared" si="2"/>
        <v>29</v>
      </c>
      <c r="H11" s="32">
        <f t="shared" si="0"/>
        <v>101.89655172413794</v>
      </c>
      <c r="I11" s="32">
        <v>277</v>
      </c>
    </row>
    <row r="12" spans="1:9" ht="12.75">
      <c r="A12" s="18" t="s">
        <v>104</v>
      </c>
      <c r="B12" s="30">
        <f t="shared" si="3"/>
        <v>68009</v>
      </c>
      <c r="C12" s="31">
        <v>69465</v>
      </c>
      <c r="D12" s="31">
        <f t="shared" si="1"/>
        <v>1456</v>
      </c>
      <c r="E12" s="19">
        <f t="shared" si="4"/>
        <v>38685</v>
      </c>
      <c r="F12" s="19">
        <v>38708</v>
      </c>
      <c r="G12" s="32">
        <f t="shared" si="2"/>
        <v>23</v>
      </c>
      <c r="H12" s="32">
        <f t="shared" si="0"/>
        <v>63.30434782608695</v>
      </c>
      <c r="I12" s="32">
        <v>155</v>
      </c>
    </row>
    <row r="13" spans="1:9" ht="12.75">
      <c r="A13" s="18" t="s">
        <v>109</v>
      </c>
      <c r="B13" s="30">
        <f t="shared" si="3"/>
        <v>69465</v>
      </c>
      <c r="C13" s="31">
        <v>71064</v>
      </c>
      <c r="D13" s="31">
        <f t="shared" si="1"/>
        <v>1599</v>
      </c>
      <c r="E13" s="19">
        <f t="shared" si="4"/>
        <v>38708</v>
      </c>
      <c r="F13" s="19">
        <v>38726</v>
      </c>
      <c r="G13" s="32">
        <f t="shared" si="2"/>
        <v>18</v>
      </c>
      <c r="H13" s="32">
        <f t="shared" si="0"/>
        <v>88.83333333333333</v>
      </c>
      <c r="I13" s="32">
        <v>338</v>
      </c>
    </row>
    <row r="14" spans="1:9" ht="12.75">
      <c r="A14" s="18" t="s">
        <v>122</v>
      </c>
      <c r="B14" s="30">
        <f aca="true" t="shared" si="5" ref="B14:B21">C13</f>
        <v>71064</v>
      </c>
      <c r="C14" s="31">
        <v>73167</v>
      </c>
      <c r="D14" s="31">
        <f aca="true" t="shared" si="6" ref="D14:D19">C14-B14</f>
        <v>2103</v>
      </c>
      <c r="E14" s="19">
        <f aca="true" t="shared" si="7" ref="E14:E21">F13</f>
        <v>38726</v>
      </c>
      <c r="F14" s="19">
        <v>38770</v>
      </c>
      <c r="G14" s="32">
        <f aca="true" t="shared" si="8" ref="G14:G19">F14-E14</f>
        <v>44</v>
      </c>
      <c r="H14" s="32">
        <f t="shared" si="0"/>
        <v>47.79545454545455</v>
      </c>
      <c r="I14" s="32">
        <v>272</v>
      </c>
    </row>
    <row r="15" spans="1:9" ht="12.75">
      <c r="A15" s="18" t="s">
        <v>125</v>
      </c>
      <c r="B15" s="30">
        <f t="shared" si="5"/>
        <v>73167</v>
      </c>
      <c r="C15" s="31">
        <v>74770</v>
      </c>
      <c r="D15" s="31">
        <f t="shared" si="6"/>
        <v>1603</v>
      </c>
      <c r="E15" s="19">
        <f t="shared" si="7"/>
        <v>38770</v>
      </c>
      <c r="F15" s="19">
        <v>38794</v>
      </c>
      <c r="G15" s="32">
        <f t="shared" si="8"/>
        <v>24</v>
      </c>
      <c r="H15" s="32">
        <f t="shared" si="0"/>
        <v>66.79166666666667</v>
      </c>
      <c r="I15" s="32">
        <v>180</v>
      </c>
    </row>
    <row r="16" spans="1:9" ht="12.75">
      <c r="A16" s="18" t="s">
        <v>136</v>
      </c>
      <c r="B16" s="30">
        <f t="shared" si="5"/>
        <v>74770</v>
      </c>
      <c r="C16" s="31">
        <v>79148</v>
      </c>
      <c r="D16" s="31">
        <f t="shared" si="6"/>
        <v>4378</v>
      </c>
      <c r="E16" s="19">
        <f t="shared" si="7"/>
        <v>38794</v>
      </c>
      <c r="F16" s="19">
        <v>38841</v>
      </c>
      <c r="G16" s="32">
        <f t="shared" si="8"/>
        <v>47</v>
      </c>
      <c r="H16" s="32">
        <f t="shared" si="0"/>
        <v>93.14893617021276</v>
      </c>
      <c r="I16" s="32">
        <f>76+32</f>
        <v>108</v>
      </c>
    </row>
    <row r="17" spans="1:9" ht="12.75">
      <c r="A17" s="18" t="s">
        <v>150</v>
      </c>
      <c r="B17" s="30">
        <f t="shared" si="5"/>
        <v>79148</v>
      </c>
      <c r="C17" s="31">
        <v>80418</v>
      </c>
      <c r="D17" s="31">
        <f t="shared" si="6"/>
        <v>1270</v>
      </c>
      <c r="E17" s="19">
        <f t="shared" si="7"/>
        <v>38841</v>
      </c>
      <c r="F17" s="19">
        <v>38846</v>
      </c>
      <c r="G17" s="32">
        <f t="shared" si="8"/>
        <v>5</v>
      </c>
      <c r="H17" s="32">
        <f aca="true" t="shared" si="9" ref="H17:H22">D17/G17</f>
        <v>254</v>
      </c>
      <c r="I17" s="32">
        <f>47+48</f>
        <v>95</v>
      </c>
    </row>
    <row r="18" spans="1:9" ht="12.75">
      <c r="A18" s="18" t="s">
        <v>155</v>
      </c>
      <c r="B18" s="30">
        <f t="shared" si="5"/>
        <v>80418</v>
      </c>
      <c r="C18" s="31">
        <v>81450</v>
      </c>
      <c r="D18" s="31">
        <f t="shared" si="6"/>
        <v>1032</v>
      </c>
      <c r="E18" s="19">
        <f t="shared" si="7"/>
        <v>38846</v>
      </c>
      <c r="F18" s="19">
        <v>38855</v>
      </c>
      <c r="G18" s="32">
        <f t="shared" si="8"/>
        <v>9</v>
      </c>
      <c r="H18" s="32">
        <f t="shared" si="9"/>
        <v>114.66666666666667</v>
      </c>
      <c r="I18" s="32">
        <v>42</v>
      </c>
    </row>
    <row r="19" spans="1:9" ht="12.75">
      <c r="A19" s="18" t="s">
        <v>156</v>
      </c>
      <c r="B19" s="30">
        <f t="shared" si="5"/>
        <v>81450</v>
      </c>
      <c r="C19" s="31">
        <v>81567</v>
      </c>
      <c r="D19" s="31">
        <f t="shared" si="6"/>
        <v>117</v>
      </c>
      <c r="E19" s="19">
        <f t="shared" si="7"/>
        <v>38855</v>
      </c>
      <c r="F19" s="19">
        <v>38857</v>
      </c>
      <c r="G19" s="32">
        <f t="shared" si="8"/>
        <v>2</v>
      </c>
      <c r="H19" s="32">
        <f t="shared" si="9"/>
        <v>58.5</v>
      </c>
      <c r="I19" s="32">
        <v>0</v>
      </c>
    </row>
    <row r="20" spans="1:9" ht="12.75">
      <c r="A20" s="18" t="s">
        <v>157</v>
      </c>
      <c r="B20" s="30">
        <f t="shared" si="5"/>
        <v>81567</v>
      </c>
      <c r="C20" s="31">
        <v>81983</v>
      </c>
      <c r="D20" s="31">
        <f aca="true" t="shared" si="10" ref="D20:D25">C20-B20</f>
        <v>416</v>
      </c>
      <c r="E20" s="19">
        <f t="shared" si="7"/>
        <v>38857</v>
      </c>
      <c r="F20" s="19">
        <v>38859</v>
      </c>
      <c r="G20" s="32">
        <f aca="true" t="shared" si="11" ref="G20:G25">F20-E20</f>
        <v>2</v>
      </c>
      <c r="H20" s="32">
        <f t="shared" si="9"/>
        <v>208</v>
      </c>
      <c r="I20" s="32">
        <v>0</v>
      </c>
    </row>
    <row r="21" spans="1:9" ht="12.75">
      <c r="A21" s="18" t="s">
        <v>158</v>
      </c>
      <c r="B21" s="30">
        <f t="shared" si="5"/>
        <v>81983</v>
      </c>
      <c r="C21" s="31">
        <v>82912</v>
      </c>
      <c r="D21" s="31">
        <f t="shared" si="10"/>
        <v>929</v>
      </c>
      <c r="E21" s="19">
        <f t="shared" si="7"/>
        <v>38859</v>
      </c>
      <c r="F21" s="19">
        <v>38865</v>
      </c>
      <c r="G21" s="32">
        <f t="shared" si="11"/>
        <v>6</v>
      </c>
      <c r="H21" s="32">
        <f t="shared" si="9"/>
        <v>154.83333333333334</v>
      </c>
      <c r="I21" s="32">
        <v>0</v>
      </c>
    </row>
    <row r="22" spans="1:9" ht="12.75">
      <c r="A22" s="18" t="s">
        <v>167</v>
      </c>
      <c r="B22" s="30">
        <f>C21</f>
        <v>82912</v>
      </c>
      <c r="C22" s="31">
        <v>84860</v>
      </c>
      <c r="D22" s="31">
        <f t="shared" si="10"/>
        <v>1948</v>
      </c>
      <c r="E22" s="19">
        <f>F21</f>
        <v>38865</v>
      </c>
      <c r="F22" s="19">
        <v>38884</v>
      </c>
      <c r="G22" s="32">
        <f t="shared" si="11"/>
        <v>19</v>
      </c>
      <c r="H22" s="32">
        <f t="shared" si="9"/>
        <v>102.52631578947368</v>
      </c>
      <c r="I22" s="32">
        <v>53</v>
      </c>
    </row>
    <row r="23" spans="1:9" ht="12.75">
      <c r="A23" s="18" t="s">
        <v>158</v>
      </c>
      <c r="B23" s="30">
        <f>C22</f>
        <v>84860</v>
      </c>
      <c r="C23" s="31">
        <v>85715</v>
      </c>
      <c r="D23" s="31">
        <f t="shared" si="10"/>
        <v>855</v>
      </c>
      <c r="E23" s="19">
        <f>F22</f>
        <v>38884</v>
      </c>
      <c r="F23" s="19">
        <v>38886</v>
      </c>
      <c r="G23" s="32">
        <f t="shared" si="11"/>
        <v>2</v>
      </c>
      <c r="H23" s="32">
        <f>D23/G23</f>
        <v>427.5</v>
      </c>
      <c r="I23" s="32"/>
    </row>
    <row r="24" spans="1:9" ht="12.75">
      <c r="A24" s="18" t="s">
        <v>157</v>
      </c>
      <c r="B24" s="30">
        <f>C23</f>
        <v>85715</v>
      </c>
      <c r="C24" s="31">
        <v>86230</v>
      </c>
      <c r="D24" s="31">
        <f t="shared" si="10"/>
        <v>515</v>
      </c>
      <c r="E24" s="19">
        <f>F23</f>
        <v>38886</v>
      </c>
      <c r="F24" s="19">
        <v>38889</v>
      </c>
      <c r="G24" s="32">
        <f t="shared" si="11"/>
        <v>3</v>
      </c>
      <c r="H24" s="32">
        <f>D24/G24</f>
        <v>171.66666666666666</v>
      </c>
      <c r="I24" s="32"/>
    </row>
    <row r="25" spans="1:9" ht="12.75">
      <c r="A25" s="18" t="s">
        <v>176</v>
      </c>
      <c r="B25" s="30">
        <f>C24</f>
        <v>86230</v>
      </c>
      <c r="C25" s="31">
        <v>86691</v>
      </c>
      <c r="D25" s="31">
        <f t="shared" si="10"/>
        <v>461</v>
      </c>
      <c r="E25" s="19">
        <f>F24</f>
        <v>38889</v>
      </c>
      <c r="F25" s="19">
        <v>38894</v>
      </c>
      <c r="G25" s="32">
        <f t="shared" si="11"/>
        <v>5</v>
      </c>
      <c r="H25" s="32">
        <f>D25/G25</f>
        <v>92.2</v>
      </c>
      <c r="I25" s="32"/>
    </row>
    <row r="26" spans="5:9" ht="12.75">
      <c r="E26" s="17"/>
      <c r="F26" s="17"/>
      <c r="G26" s="33"/>
      <c r="H26" s="33"/>
      <c r="I26" s="33"/>
    </row>
    <row r="27" spans="7:9" ht="12.75">
      <c r="G27" s="33"/>
      <c r="H27" s="33"/>
      <c r="I27" s="33"/>
    </row>
    <row r="28" spans="4:9" ht="13.5" thickBot="1">
      <c r="D28" s="35">
        <f>SUM(D4:D27)</f>
        <v>35233</v>
      </c>
      <c r="E28" t="s">
        <v>151</v>
      </c>
      <c r="G28" s="34">
        <f>SUM(G4:G27)</f>
        <v>357</v>
      </c>
      <c r="H28" s="34">
        <f>D28/G28</f>
        <v>98.69187675070027</v>
      </c>
      <c r="I28" s="34">
        <f>SUM(I4:I27)</f>
        <v>2286</v>
      </c>
    </row>
    <row r="29" spans="4:8" ht="14.25" thickBot="1" thickTop="1">
      <c r="D29" s="35">
        <f>D28*1.6</f>
        <v>56372.8</v>
      </c>
      <c r="E29" t="s">
        <v>152</v>
      </c>
      <c r="G29" s="36">
        <f>G28/30.5</f>
        <v>11.704918032786885</v>
      </c>
      <c r="H29" s="27" t="s">
        <v>110</v>
      </c>
    </row>
    <row r="30" ht="13.5" thickTop="1"/>
  </sheetData>
  <printOptions/>
  <pageMargins left="0.75" right="0.75" top="1" bottom="1" header="0.5" footer="0.5"/>
  <pageSetup horizontalDpi="204" verticalDpi="204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Genome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Ivan Matthews</cp:lastModifiedBy>
  <dcterms:created xsi:type="dcterms:W3CDTF">2005-04-03T15:02:43Z</dcterms:created>
  <dcterms:modified xsi:type="dcterms:W3CDTF">2006-06-28T13:33:22Z</dcterms:modified>
  <cp:category/>
  <cp:version/>
  <cp:contentType/>
  <cp:contentStatus/>
</cp:coreProperties>
</file>