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30" windowHeight="6990" tabRatio="450" activeTab="0"/>
  </bookViews>
  <sheets>
    <sheet name="Summary" sheetId="1" r:id="rId1"/>
    <sheet name="Namibia" sheetId="2" r:id="rId2"/>
    <sheet name="South Afrrica" sheetId="3" r:id="rId3"/>
    <sheet name="Botswana" sheetId="4" r:id="rId4"/>
    <sheet name="Zambia" sheetId="5" r:id="rId5"/>
    <sheet name="Malawi" sheetId="6" r:id="rId6"/>
    <sheet name="Tanzania" sheetId="7" r:id="rId7"/>
    <sheet name="Uganda " sheetId="8" r:id="rId8"/>
    <sheet name="Kenya" sheetId="9" r:id="rId9"/>
    <sheet name="Ethiopia" sheetId="10" r:id="rId10"/>
    <sheet name="Sudan" sheetId="11" r:id="rId11"/>
    <sheet name="Egypt" sheetId="12" r:id="rId12"/>
    <sheet name="Liyba" sheetId="13" r:id="rId13"/>
    <sheet name="Tunisia" sheetId="14" r:id="rId14"/>
    <sheet name="MASTER" sheetId="15" r:id="rId15"/>
    <sheet name="Tickmarks" sheetId="16" r:id="rId16"/>
  </sheets>
  <definedNames>
    <definedName name="AS2DocOpenMode" hidden="1">"AS2DocumentEdit"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13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<sst xmlns="http://schemas.openxmlformats.org/spreadsheetml/2006/main" count="696" uniqueCount="331">
  <si>
    <t>Tickmarks</t>
  </si>
  <si>
    <t>{a}</t>
  </si>
  <si>
    <t>{b}</t>
  </si>
  <si>
    <t>{c}</t>
  </si>
  <si>
    <t>{d}</t>
  </si>
  <si>
    <t>{e}</t>
  </si>
  <si>
    <t>{f}</t>
  </si>
  <si>
    <t>{g}</t>
  </si>
  <si>
    <t>{h}</t>
  </si>
  <si>
    <t>{i}</t>
  </si>
  <si>
    <t>{j}</t>
  </si>
  <si>
    <t>{k}</t>
  </si>
  <si>
    <t>{l}</t>
  </si>
  <si>
    <t>{m}</t>
  </si>
  <si>
    <t>{n}</t>
  </si>
  <si>
    <t>{o}</t>
  </si>
  <si>
    <t>{p}</t>
  </si>
  <si>
    <t>{q}</t>
  </si>
  <si>
    <t>{r}</t>
  </si>
  <si>
    <t>{s}</t>
  </si>
  <si>
    <t>{t}</t>
  </si>
  <si>
    <t>{u}</t>
  </si>
  <si>
    <t>{v}</t>
  </si>
  <si>
    <t>{w}</t>
  </si>
  <si>
    <t>{x}</t>
  </si>
  <si>
    <t>{y}</t>
  </si>
  <si>
    <t>{z}</t>
  </si>
  <si>
    <t>Nambia</t>
  </si>
  <si>
    <t>From</t>
  </si>
  <si>
    <t>To</t>
  </si>
  <si>
    <t>Road</t>
  </si>
  <si>
    <t>Km</t>
  </si>
  <si>
    <t>Walvis Bay</t>
  </si>
  <si>
    <t>Swakopmund</t>
  </si>
  <si>
    <t>B2</t>
  </si>
  <si>
    <t>C28</t>
  </si>
  <si>
    <t>Windhoek</t>
  </si>
  <si>
    <t>Otjiwarongo (just before)</t>
  </si>
  <si>
    <t>B1</t>
  </si>
  <si>
    <t>Okakarara</t>
  </si>
  <si>
    <t>C22</t>
  </si>
  <si>
    <t>Waterburg Plateau</t>
  </si>
  <si>
    <t>?</t>
  </si>
  <si>
    <t>D2512?</t>
  </si>
  <si>
    <t>Otjiwarongo</t>
  </si>
  <si>
    <t>Tsumeb</t>
  </si>
  <si>
    <t>Turn off to Etosha</t>
  </si>
  <si>
    <t>Etosha 1st camp</t>
  </si>
  <si>
    <t>C38</t>
  </si>
  <si>
    <t>Etosha 2nd camp</t>
  </si>
  <si>
    <t>Etosha 3rd camp</t>
  </si>
  <si>
    <t>Outjo</t>
  </si>
  <si>
    <t>Khorixas</t>
  </si>
  <si>
    <t>Torra Bay</t>
  </si>
  <si>
    <t>C39</t>
  </si>
  <si>
    <t>Up skeleton Coast</t>
  </si>
  <si>
    <t>D2302</t>
  </si>
  <si>
    <t>Down Skelton Coast</t>
  </si>
  <si>
    <t>C34</t>
  </si>
  <si>
    <t>Meile</t>
  </si>
  <si>
    <t>D2303</t>
  </si>
  <si>
    <t>D2342</t>
  </si>
  <si>
    <t>C35</t>
  </si>
  <si>
    <t>D2359</t>
  </si>
  <si>
    <t>Brandberg</t>
  </si>
  <si>
    <t>Uis</t>
  </si>
  <si>
    <t>Hentiesbaai</t>
  </si>
  <si>
    <t>Cape Cross</t>
  </si>
  <si>
    <t>Namibia</t>
  </si>
  <si>
    <t>Distance</t>
  </si>
  <si>
    <t>Days</t>
  </si>
  <si>
    <t>Solitaire</t>
  </si>
  <si>
    <t>Sesriem</t>
  </si>
  <si>
    <t>Soussusvlei</t>
  </si>
  <si>
    <t>C14</t>
  </si>
  <si>
    <t>C19/D826</t>
  </si>
  <si>
    <t>Naukluft mountains</t>
  </si>
  <si>
    <t>On way to Sesriem</t>
  </si>
  <si>
    <t>Namib Rand Nature Reserve</t>
  </si>
  <si>
    <t>C27</t>
  </si>
  <si>
    <t>Helmeringhausen</t>
  </si>
  <si>
    <t>Aus</t>
  </si>
  <si>
    <t>Luderitz</t>
  </si>
  <si>
    <t>C13</t>
  </si>
  <si>
    <t>B4</t>
  </si>
  <si>
    <t>Noordoewer</t>
  </si>
  <si>
    <t>D316</t>
  </si>
  <si>
    <t>C10</t>
  </si>
  <si>
    <t>Ai Ais fish river canyon</t>
  </si>
  <si>
    <t>Fish River Canyon view points</t>
  </si>
  <si>
    <t>C37 etc</t>
  </si>
  <si>
    <t>C10 junction</t>
  </si>
  <si>
    <t>Karasburg</t>
  </si>
  <si>
    <t>B3</t>
  </si>
  <si>
    <t>South Africa</t>
  </si>
  <si>
    <t>Uppington</t>
  </si>
  <si>
    <t>N10</t>
  </si>
  <si>
    <t>Kakamas</t>
  </si>
  <si>
    <t>N14</t>
  </si>
  <si>
    <t>Augrabies National Park</t>
  </si>
  <si>
    <t>Kenhardt</t>
  </si>
  <si>
    <t>29 S</t>
  </si>
  <si>
    <t>R27</t>
  </si>
  <si>
    <t>Brandvlei</t>
  </si>
  <si>
    <t>Loeriesfontein</t>
  </si>
  <si>
    <t>R357</t>
  </si>
  <si>
    <t>Rock Paitings on the way</t>
  </si>
  <si>
    <t>Nieuwoudtville</t>
  </si>
  <si>
    <t>Vanrhynsdorp</t>
  </si>
  <si>
    <t>Clanwilliam</t>
  </si>
  <si>
    <t>N7</t>
  </si>
  <si>
    <t>Cederberg Wilderness area</t>
  </si>
  <si>
    <t>Citrusdal</t>
  </si>
  <si>
    <t>Piketberg</t>
  </si>
  <si>
    <t>Velddrif</t>
  </si>
  <si>
    <t>R44</t>
  </si>
  <si>
    <t>Langebaan</t>
  </si>
  <si>
    <t>Botswana</t>
  </si>
  <si>
    <t>Nambia stage 2 Caprivi Strip</t>
  </si>
  <si>
    <t>Zambia</t>
  </si>
  <si>
    <t>Malawi</t>
  </si>
  <si>
    <t>Tanzania</t>
  </si>
  <si>
    <t>Comments</t>
  </si>
  <si>
    <t>Summary</t>
  </si>
  <si>
    <t>Nakop SA/ Nambia border</t>
  </si>
  <si>
    <t>Darling</t>
  </si>
  <si>
    <t>R27/R315</t>
  </si>
  <si>
    <t>Malmesbury</t>
  </si>
  <si>
    <t>R315</t>
  </si>
  <si>
    <t>Paarl</t>
  </si>
  <si>
    <t>R45</t>
  </si>
  <si>
    <t>Pniel</t>
  </si>
  <si>
    <t>Stellenbosch</t>
  </si>
  <si>
    <t>R310</t>
  </si>
  <si>
    <t>Somerset West</t>
  </si>
  <si>
    <t>Vredendal</t>
  </si>
  <si>
    <t>N2</t>
  </si>
  <si>
    <t>Hermanus</t>
  </si>
  <si>
    <t>Caledon</t>
  </si>
  <si>
    <t>R320</t>
  </si>
  <si>
    <t>Botrivier</t>
  </si>
  <si>
    <t>Villiersdorp</t>
  </si>
  <si>
    <t>Worcester</t>
  </si>
  <si>
    <t>?R43</t>
  </si>
  <si>
    <t>R43</t>
  </si>
  <si>
    <t>Karoo National Botanic Gardens</t>
  </si>
  <si>
    <t>Beaufort West</t>
  </si>
  <si>
    <t>N1</t>
  </si>
  <si>
    <t>Bloemfontein</t>
  </si>
  <si>
    <t>Kimberley</t>
  </si>
  <si>
    <t>R48</t>
  </si>
  <si>
    <t>Vryburg</t>
  </si>
  <si>
    <t>N12/R47</t>
  </si>
  <si>
    <t>Mafikeng</t>
  </si>
  <si>
    <t>R49</t>
  </si>
  <si>
    <t>Ramatlabama Bot/SA border</t>
  </si>
  <si>
    <t>R52</t>
  </si>
  <si>
    <t>Notes</t>
  </si>
  <si>
    <t>1Km =0.6214 miles</t>
  </si>
  <si>
    <t>Est of 
travel time hr</t>
  </si>
  <si>
    <t>Travel time at 40 mph</t>
  </si>
  <si>
    <t>=</t>
  </si>
  <si>
    <t>Km ph</t>
  </si>
  <si>
    <t>Travel plus 2 days to fit out the LR</t>
  </si>
  <si>
    <t>Says two days at Waterberg Plateau</t>
  </si>
  <si>
    <t>Want 3 days at each camp</t>
  </si>
  <si>
    <t>Travel time at 30 mph</t>
  </si>
  <si>
    <t>Travel time at 60 mph</t>
  </si>
  <si>
    <t>Garborone</t>
  </si>
  <si>
    <t>Francistown</t>
  </si>
  <si>
    <t>Orapa</t>
  </si>
  <si>
    <t>Makgadikgadi pans</t>
  </si>
  <si>
    <t>Maun</t>
  </si>
  <si>
    <t>Okavango Delta</t>
  </si>
  <si>
    <t>Moremi Reserve</t>
  </si>
  <si>
    <t>Chobe</t>
  </si>
  <si>
    <t>Ngoma Bot/ Nambia border</t>
  </si>
  <si>
    <t>Caprivi Strip</t>
  </si>
  <si>
    <t>Katimamulilo</t>
  </si>
  <si>
    <t>B8</t>
  </si>
  <si>
    <t>Kongola</t>
  </si>
  <si>
    <t>C49</t>
  </si>
  <si>
    <t>Mudumu National park etc various parks</t>
  </si>
  <si>
    <t>Ethopia</t>
  </si>
  <si>
    <t>Sudan</t>
  </si>
  <si>
    <t>Egypt</t>
  </si>
  <si>
    <t>Libya</t>
  </si>
  <si>
    <t>Tunisia</t>
  </si>
  <si>
    <t>France/ Europe</t>
  </si>
  <si>
    <t>Katimamulilo Nam/Zam border</t>
  </si>
  <si>
    <t>Sesheke</t>
  </si>
  <si>
    <t>Livingstone</t>
  </si>
  <si>
    <t>Ngonye Falls</t>
  </si>
  <si>
    <t>Mongue</t>
  </si>
  <si>
    <t>Kafue National Park</t>
  </si>
  <si>
    <t>M9</t>
  </si>
  <si>
    <t>Busanga Plains</t>
  </si>
  <si>
    <t>Lusaka</t>
  </si>
  <si>
    <t>Siavonga on Lake Kariba</t>
  </si>
  <si>
    <t>Chirundu</t>
  </si>
  <si>
    <t>Chiawa Lower Zambezi NP</t>
  </si>
  <si>
    <t>Chongwe</t>
  </si>
  <si>
    <t>Chaipata</t>
  </si>
  <si>
    <t>South Lunagwa Nat Park</t>
  </si>
  <si>
    <t>MALAWI</t>
  </si>
  <si>
    <t>Lilongwe</t>
  </si>
  <si>
    <t>Dedza</t>
  </si>
  <si>
    <t>Ntcheu</t>
  </si>
  <si>
    <t>Liwonde</t>
  </si>
  <si>
    <t>Mangochi</t>
  </si>
  <si>
    <t>Monkey bay</t>
  </si>
  <si>
    <t>Mtakataka</t>
  </si>
  <si>
    <t>Salima</t>
  </si>
  <si>
    <t>Nkhotakota</t>
  </si>
  <si>
    <t>Nkhta bay</t>
  </si>
  <si>
    <t>Mzuzu</t>
  </si>
  <si>
    <t>Karanga</t>
  </si>
  <si>
    <t>Iponga</t>
  </si>
  <si>
    <t>Aug</t>
  </si>
  <si>
    <t>Jul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</si>
  <si>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</si>
  <si>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</si>
  <si>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</si>
  <si>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</si>
  <si>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</si>
  <si>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</si>
  <si>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</si>
  <si>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</si>
  <si>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</si>
  <si>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</si>
  <si>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MASTER</t>
  </si>
  <si>
    <t>Kyela</t>
  </si>
  <si>
    <t>Karonga</t>
  </si>
  <si>
    <t>Mbeya</t>
  </si>
  <si>
    <t>Iringa</t>
  </si>
  <si>
    <t xml:space="preserve">Ruaha </t>
  </si>
  <si>
    <t>Dar es Salaam</t>
  </si>
  <si>
    <t>Arusha</t>
  </si>
  <si>
    <t>Ngorongo</t>
  </si>
  <si>
    <t>Serengeti</t>
  </si>
  <si>
    <t>Cum</t>
  </si>
  <si>
    <t>Travel to Nam and getting veh sorted</t>
  </si>
  <si>
    <t>Dodoma</t>
  </si>
  <si>
    <t>Makuyuni</t>
  </si>
  <si>
    <t>TANZANIA PHASE 1</t>
  </si>
  <si>
    <t>Zanzibar</t>
  </si>
  <si>
    <t>poss some other island???</t>
  </si>
  <si>
    <t>Namanga</t>
  </si>
  <si>
    <t>Tanzania phase 2</t>
  </si>
  <si>
    <t>ETHIOPIA</t>
  </si>
  <si>
    <t>Moyale</t>
  </si>
  <si>
    <t>Yabello</t>
  </si>
  <si>
    <t>Karat -Konso</t>
  </si>
  <si>
    <t>Weita</t>
  </si>
  <si>
    <t>Turmi</t>
  </si>
  <si>
    <t>Murelle</t>
  </si>
  <si>
    <t>Mago NP</t>
  </si>
  <si>
    <t>Jinka</t>
  </si>
  <si>
    <t>South Omo region</t>
  </si>
  <si>
    <t>Arba Minch</t>
  </si>
  <si>
    <t>Nechisar NP</t>
  </si>
  <si>
    <t>Sodo</t>
  </si>
  <si>
    <t>Shasheme</t>
  </si>
  <si>
    <t>Ziway</t>
  </si>
  <si>
    <t>Butajira</t>
  </si>
  <si>
    <t>Tiya</t>
  </si>
  <si>
    <t>Melka Awash</t>
  </si>
  <si>
    <t>Addis Ababa</t>
  </si>
  <si>
    <t>Dejen</t>
  </si>
  <si>
    <t>Bahir Dar</t>
  </si>
  <si>
    <t>Gonder</t>
  </si>
  <si>
    <t>Axum</t>
  </si>
  <si>
    <t>Adigrat</t>
  </si>
  <si>
    <t>Weldiya</t>
  </si>
  <si>
    <t>Lalibela</t>
  </si>
  <si>
    <t>Addis Abeba</t>
  </si>
  <si>
    <t>Gallabat</t>
  </si>
  <si>
    <t>TANZANIA PHASE 2</t>
  </si>
  <si>
    <t>SUDAN</t>
  </si>
  <si>
    <t>Gedaref</t>
  </si>
  <si>
    <t>Wad Medani</t>
  </si>
  <si>
    <t>Khartoum</t>
  </si>
  <si>
    <t>Wadi Halfa</t>
  </si>
  <si>
    <t>KENYA</t>
  </si>
  <si>
    <t>UGANDA</t>
  </si>
  <si>
    <t>EGYPT</t>
  </si>
  <si>
    <t>Aswan</t>
  </si>
  <si>
    <t>Sea</t>
  </si>
  <si>
    <t>Shendi/Moroe/Atbara</t>
  </si>
  <si>
    <t>Karima</t>
  </si>
  <si>
    <t>Luxor/Qena</t>
  </si>
  <si>
    <t>Hurghada/red sea</t>
  </si>
  <si>
    <t>Cairo</t>
  </si>
  <si>
    <t>Alexandria</t>
  </si>
  <si>
    <t>Libya border</t>
  </si>
  <si>
    <t>LIBYA</t>
  </si>
  <si>
    <t>Egypt border</t>
  </si>
  <si>
    <t>Bingazi</t>
  </si>
  <si>
    <t>Leptis Magna</t>
  </si>
  <si>
    <t>Tripoli</t>
  </si>
  <si>
    <t>Sabratha</t>
  </si>
  <si>
    <t>Ghadames</t>
  </si>
  <si>
    <t>Raz Ajdir</t>
  </si>
  <si>
    <t>TUNISIA</t>
  </si>
  <si>
    <t>Ras Ajdir</t>
  </si>
  <si>
    <t>Jerba</t>
  </si>
  <si>
    <t>El Jem</t>
  </si>
  <si>
    <t>Kairouan</t>
  </si>
  <si>
    <t>Sbeitla</t>
  </si>
  <si>
    <t>Le Kef</t>
  </si>
  <si>
    <t>Dougga</t>
  </si>
  <si>
    <t>Tunis</t>
  </si>
  <si>
    <t>Tabarka beaches</t>
  </si>
  <si>
    <t>Lake Victoria</t>
  </si>
  <si>
    <t>Mwanza</t>
  </si>
  <si>
    <t>Bukoba</t>
  </si>
  <si>
    <t>Mutukula Uganda border</t>
  </si>
  <si>
    <t>Masaka</t>
  </si>
  <si>
    <t>Mbarara</t>
  </si>
  <si>
    <t>Kabale</t>
  </si>
  <si>
    <t>Bwindi National Park</t>
  </si>
  <si>
    <t>Queen Elizabeth NP</t>
  </si>
  <si>
    <t>Kampala incl rafting</t>
  </si>
  <si>
    <t xml:space="preserve">Kenya </t>
  </si>
  <si>
    <t>Nairobi</t>
  </si>
  <si>
    <t>Lake Navisha</t>
  </si>
  <si>
    <t>Samburu</t>
  </si>
  <si>
    <t>Marsabit NP</t>
  </si>
  <si>
    <t>Moyale Ethiopia border</t>
  </si>
  <si>
    <t>Miles</t>
  </si>
  <si>
    <t>Uganda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</si>
</sst>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_);\(#,##0.0\)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_ * #,##0.0_ ;_ * \-#,##0.0_ ;_ * &quot;-&quot;??_ ;_ @_ "/>
    <numFmt numFmtId="192" formatCode="_ * #,##0_ ;_ * \-#,##0_ ;_ * &quot;-&quot;??_ ;_ @_ "/>
    <numFmt numFmtId="193" formatCode="_-* #,##0.0000_-;\-* #,##0.0000_-;_-* &quot;-&quot;????_-;_-@_-"/>
    <numFmt numFmtId="194" formatCode="_-* #,##0.0_-;\-* #,##0.0_-;_-* &quot;-&quot;??_-;_-@_-"/>
    <numFmt numFmtId="195" formatCode="_-* #,##0_-;\-* #,##0_-;_-* &quot;-&quot;??_-;_-@_-"/>
  </numFmts>
  <fonts count="9">
    <font>
      <sz val="10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92" fontId="0" fillId="0" borderId="0" xfId="15" applyNumberFormat="1" applyAlignment="1">
      <alignment/>
    </xf>
    <xf numFmtId="0" fontId="0" fillId="0" borderId="0" xfId="0" applyAlignment="1" quotePrefix="1">
      <alignment/>
    </xf>
    <xf numFmtId="187" fontId="0" fillId="0" borderId="0" xfId="15" applyAlignment="1">
      <alignment/>
    </xf>
    <xf numFmtId="192" fontId="0" fillId="0" borderId="1" xfId="15" applyNumberFormat="1" applyBorder="1" applyAlignment="1">
      <alignment/>
    </xf>
    <xf numFmtId="187" fontId="0" fillId="0" borderId="0" xfId="15" applyAlignment="1">
      <alignment wrapText="1"/>
    </xf>
    <xf numFmtId="187" fontId="0" fillId="0" borderId="0" xfId="15" applyBorder="1" applyAlignment="1">
      <alignment/>
    </xf>
    <xf numFmtId="187" fontId="0" fillId="0" borderId="0" xfId="15" applyAlignment="1">
      <alignment wrapText="1"/>
    </xf>
    <xf numFmtId="187" fontId="0" fillId="0" borderId="0" xfId="15" applyAlignment="1">
      <alignment/>
    </xf>
    <xf numFmtId="0" fontId="0" fillId="2" borderId="0" xfId="0" applyFill="1" applyAlignment="1">
      <alignment/>
    </xf>
    <xf numFmtId="192" fontId="0" fillId="0" borderId="0" xfId="15" applyNumberFormat="1" applyBorder="1" applyAlignment="1">
      <alignment/>
    </xf>
    <xf numFmtId="0" fontId="0" fillId="0" borderId="0" xfId="0" applyNumberFormat="1" applyAlignment="1">
      <alignment vertical="top" wrapText="1"/>
    </xf>
    <xf numFmtId="19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R34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20.28125" style="0" customWidth="1"/>
    <col min="2" max="2" width="2.8515625" style="0" customWidth="1"/>
    <col min="3" max="3" width="10.28125" style="0" bestFit="1" customWidth="1"/>
    <col min="4" max="4" width="9.28125" style="0" bestFit="1" customWidth="1"/>
    <col min="5" max="5" width="9.28125" style="0" customWidth="1"/>
    <col min="7" max="7" width="3.8515625" style="0" customWidth="1"/>
    <col min="8" max="9" width="4.28125" style="0" bestFit="1" customWidth="1"/>
    <col min="10" max="11" width="4.00390625" style="0" bestFit="1" customWidth="1"/>
    <col min="12" max="12" width="4.28125" style="0" bestFit="1" customWidth="1"/>
    <col min="13" max="13" width="3.8515625" style="0" bestFit="1" customWidth="1"/>
    <col min="14" max="15" width="4.140625" style="0" bestFit="1" customWidth="1"/>
    <col min="16" max="16" width="4.00390625" style="0" bestFit="1" customWidth="1"/>
    <col min="17" max="17" width="4.57421875" style="0" bestFit="1" customWidth="1"/>
    <col min="18" max="18" width="4.00390625" style="0" bestFit="1" customWidth="1"/>
  </cols>
  <sheetData>
    <row r="2" spans="1:18" ht="12.75">
      <c r="A2" s="4" t="s">
        <v>123</v>
      </c>
      <c r="G2">
        <v>31</v>
      </c>
      <c r="H2">
        <f>G2+31</f>
        <v>62</v>
      </c>
      <c r="I2">
        <f>H2+30</f>
        <v>92</v>
      </c>
      <c r="J2">
        <f>I2+31</f>
        <v>123</v>
      </c>
      <c r="K2">
        <f>J2+30</f>
        <v>153</v>
      </c>
      <c r="L2">
        <f>K2+31</f>
        <v>184</v>
      </c>
      <c r="M2">
        <f>L2+31</f>
        <v>215</v>
      </c>
      <c r="N2">
        <f>M2+28</f>
        <v>243</v>
      </c>
      <c r="O2">
        <f>N2+31</f>
        <v>274</v>
      </c>
      <c r="P2">
        <f>O2+30</f>
        <v>304</v>
      </c>
      <c r="Q2">
        <f>P2+31</f>
        <v>335</v>
      </c>
      <c r="R2">
        <f>Q2+30</f>
        <v>365</v>
      </c>
    </row>
    <row r="3" spans="3:18" ht="12.75">
      <c r="C3" t="s">
        <v>69</v>
      </c>
      <c r="D3" t="s">
        <v>70</v>
      </c>
      <c r="E3" t="s">
        <v>240</v>
      </c>
      <c r="G3" t="s">
        <v>219</v>
      </c>
      <c r="H3" t="s">
        <v>218</v>
      </c>
      <c r="I3" t="s">
        <v>220</v>
      </c>
      <c r="J3" t="s">
        <v>221</v>
      </c>
      <c r="K3" t="s">
        <v>222</v>
      </c>
      <c r="L3" t="s">
        <v>223</v>
      </c>
      <c r="M3" t="s">
        <v>224</v>
      </c>
      <c r="N3" t="s">
        <v>225</v>
      </c>
      <c r="O3" t="s">
        <v>226</v>
      </c>
      <c r="P3" t="s">
        <v>227</v>
      </c>
      <c r="Q3" t="s">
        <v>228</v>
      </c>
      <c r="R3" t="s">
        <v>229</v>
      </c>
    </row>
    <row r="4" spans="1:5" ht="12.75">
      <c r="A4" t="s">
        <v>241</v>
      </c>
      <c r="D4">
        <v>7</v>
      </c>
      <c r="E4">
        <f>D4</f>
        <v>7</v>
      </c>
    </row>
    <row r="5" spans="1:8" ht="12.75">
      <c r="A5" t="s">
        <v>68</v>
      </c>
      <c r="C5" s="6">
        <f>Namibia!F70</f>
        <v>4513</v>
      </c>
      <c r="D5" s="6">
        <f>Namibia!H70</f>
        <v>45</v>
      </c>
      <c r="E5" s="6">
        <f aca="true" t="shared" si="0" ref="E5:E21">E4+D5</f>
        <v>52</v>
      </c>
      <c r="G5" s="14"/>
      <c r="H5" s="14"/>
    </row>
    <row r="6" spans="1:8" ht="12.75">
      <c r="A6" t="s">
        <v>94</v>
      </c>
      <c r="C6" s="6">
        <f>'South Afrrica'!F54</f>
        <v>2917</v>
      </c>
      <c r="D6" s="6">
        <f>'South Afrrica'!H54</f>
        <v>20</v>
      </c>
      <c r="E6" s="6">
        <f t="shared" si="0"/>
        <v>72</v>
      </c>
      <c r="H6" s="14"/>
    </row>
    <row r="7" spans="1:9" ht="12.75">
      <c r="A7" t="s">
        <v>117</v>
      </c>
      <c r="C7" s="6">
        <f>Botswana!F22</f>
        <v>1653</v>
      </c>
      <c r="D7" s="6">
        <f>Botswana!H22</f>
        <v>20</v>
      </c>
      <c r="E7" s="6">
        <f t="shared" si="0"/>
        <v>92</v>
      </c>
      <c r="I7" s="14"/>
    </row>
    <row r="8" spans="1:9" ht="12.75">
      <c r="A8" t="s">
        <v>118</v>
      </c>
      <c r="C8" s="6">
        <f>Botswana!F34</f>
        <v>366</v>
      </c>
      <c r="D8" s="6">
        <f>Botswana!H34</f>
        <v>4</v>
      </c>
      <c r="E8" s="6">
        <f t="shared" si="0"/>
        <v>96</v>
      </c>
      <c r="I8" s="14"/>
    </row>
    <row r="9" spans="1:10" ht="12.75">
      <c r="A9" t="s">
        <v>119</v>
      </c>
      <c r="C9" s="6">
        <f>Zambia!F30</f>
        <v>2885</v>
      </c>
      <c r="D9" s="6">
        <f>Zambia!H30</f>
        <v>27</v>
      </c>
      <c r="E9" s="6">
        <f t="shared" si="0"/>
        <v>123</v>
      </c>
      <c r="J9" s="14"/>
    </row>
    <row r="10" spans="1:11" ht="12.75">
      <c r="A10" t="s">
        <v>120</v>
      </c>
      <c r="C10" s="6">
        <f>Malawi!F28</f>
        <v>1434</v>
      </c>
      <c r="D10" s="6">
        <f>Malawi!H28</f>
        <v>14</v>
      </c>
      <c r="E10" s="6">
        <f t="shared" si="0"/>
        <v>137</v>
      </c>
      <c r="F10" s="8"/>
      <c r="K10" s="14"/>
    </row>
    <row r="11" spans="1:11" ht="12.75">
      <c r="A11" t="s">
        <v>121</v>
      </c>
      <c r="C11" s="6">
        <f>Tanzania!F21</f>
        <v>2373</v>
      </c>
      <c r="D11" s="6">
        <f>Tanzania!H21</f>
        <v>17</v>
      </c>
      <c r="E11" s="6">
        <f t="shared" si="0"/>
        <v>154</v>
      </c>
      <c r="K11" s="14"/>
    </row>
    <row r="12" spans="1:12" ht="12.75">
      <c r="A12" t="s">
        <v>330</v>
      </c>
      <c r="C12" s="6">
        <f>'Uganda '!F20</f>
        <v>1446</v>
      </c>
      <c r="D12" s="6">
        <f>'Uganda '!H20</f>
        <v>14</v>
      </c>
      <c r="E12" s="6">
        <f t="shared" si="0"/>
        <v>168</v>
      </c>
      <c r="L12" s="14"/>
    </row>
    <row r="13" spans="1:12" ht="12.75">
      <c r="A13" t="s">
        <v>248</v>
      </c>
      <c r="C13" s="6">
        <f>Tanzania!F41</f>
        <v>2520</v>
      </c>
      <c r="D13" s="6">
        <f>Tanzania!H41</f>
        <v>18</v>
      </c>
      <c r="E13" s="6">
        <f t="shared" si="0"/>
        <v>186</v>
      </c>
      <c r="L13" s="14"/>
    </row>
    <row r="14" spans="1:13" ht="12.75">
      <c r="A14" t="s">
        <v>323</v>
      </c>
      <c r="C14" s="6">
        <f>Kenya!F16</f>
        <v>1318</v>
      </c>
      <c r="D14" s="6">
        <f>Kenya!H16</f>
        <v>16</v>
      </c>
      <c r="E14" s="6">
        <f t="shared" si="0"/>
        <v>202</v>
      </c>
      <c r="M14" s="14"/>
    </row>
    <row r="15" spans="1:14" ht="12.75">
      <c r="A15" t="s">
        <v>183</v>
      </c>
      <c r="C15" s="6">
        <f>Ethiopia!F52</f>
        <v>4834</v>
      </c>
      <c r="D15" s="6">
        <f>Ethiopia!H52</f>
        <v>41</v>
      </c>
      <c r="E15" s="6">
        <f t="shared" si="0"/>
        <v>243</v>
      </c>
      <c r="M15" s="14"/>
      <c r="N15" s="14"/>
    </row>
    <row r="16" spans="1:15" ht="12.75">
      <c r="A16" t="s">
        <v>184</v>
      </c>
      <c r="C16" s="6">
        <f>Sudan!F22</f>
        <v>1564</v>
      </c>
      <c r="D16" s="6">
        <f>Sudan!H22</f>
        <v>14</v>
      </c>
      <c r="E16" s="6">
        <f t="shared" si="0"/>
        <v>257</v>
      </c>
      <c r="O16" s="14"/>
    </row>
    <row r="17" spans="1:15" ht="12.75">
      <c r="A17" t="s">
        <v>185</v>
      </c>
      <c r="C17" s="6">
        <f>Egypt!F21</f>
        <v>2011</v>
      </c>
      <c r="D17" s="6">
        <f>Egypt!H21</f>
        <v>20</v>
      </c>
      <c r="E17" s="6">
        <f t="shared" si="0"/>
        <v>277</v>
      </c>
      <c r="O17" s="14"/>
    </row>
    <row r="18" spans="1:16" ht="12.75">
      <c r="A18" t="s">
        <v>186</v>
      </c>
      <c r="C18" s="6">
        <f>Liyba!F17</f>
        <v>2784</v>
      </c>
      <c r="D18" s="6">
        <f>Liyba!H17</f>
        <v>23</v>
      </c>
      <c r="E18" s="6">
        <f t="shared" si="0"/>
        <v>300</v>
      </c>
      <c r="P18" s="14"/>
    </row>
    <row r="19" spans="1:17" ht="12.75">
      <c r="A19" t="s">
        <v>187</v>
      </c>
      <c r="C19" s="6">
        <f>Tunisia!F23</f>
        <v>1121</v>
      </c>
      <c r="D19" s="6">
        <f>Tunisia!H23</f>
        <v>14</v>
      </c>
      <c r="E19" s="6">
        <f t="shared" si="0"/>
        <v>314</v>
      </c>
      <c r="Q19" s="14"/>
    </row>
    <row r="20" spans="1:17" ht="12.75">
      <c r="A20" t="s">
        <v>188</v>
      </c>
      <c r="C20" s="6">
        <v>1000</v>
      </c>
      <c r="D20" s="6">
        <v>10</v>
      </c>
      <c r="E20" s="6">
        <f t="shared" si="0"/>
        <v>324</v>
      </c>
      <c r="Q20" s="14"/>
    </row>
    <row r="21" spans="3:5" ht="12.75">
      <c r="C21" s="6"/>
      <c r="D21" s="6"/>
      <c r="E21" s="6">
        <f t="shared" si="0"/>
        <v>324</v>
      </c>
    </row>
    <row r="22" spans="3:5" ht="12.75">
      <c r="C22" s="9">
        <f>SUM(C5:C21)</f>
        <v>34739</v>
      </c>
      <c r="D22" s="9">
        <f>SUM(D4:D21)</f>
        <v>324</v>
      </c>
      <c r="E22" s="15"/>
    </row>
    <row r="23" spans="3:5" ht="12.75">
      <c r="C23" s="6"/>
      <c r="D23" s="6"/>
      <c r="E23" s="6"/>
    </row>
    <row r="24" spans="1:3" ht="12.75">
      <c r="A24" t="s">
        <v>329</v>
      </c>
      <c r="C24" s="17">
        <f>C22*0.6214</f>
        <v>21586.814599999998</v>
      </c>
    </row>
    <row r="30" ht="12.75">
      <c r="A30" t="s">
        <v>157</v>
      </c>
    </row>
    <row r="31" ht="12.75">
      <c r="A31" t="s">
        <v>158</v>
      </c>
    </row>
    <row r="32" spans="1:4" ht="12.75">
      <c r="A32" t="s">
        <v>160</v>
      </c>
      <c r="B32" s="7" t="s">
        <v>161</v>
      </c>
      <c r="C32">
        <f>40/0.6214</f>
        <v>64.3707756678468</v>
      </c>
      <c r="D32" t="s">
        <v>162</v>
      </c>
    </row>
    <row r="33" spans="1:4" ht="12.75">
      <c r="A33" t="s">
        <v>166</v>
      </c>
      <c r="B33" s="7" t="s">
        <v>161</v>
      </c>
      <c r="C33">
        <f>30/0.6214</f>
        <v>48.2780817508851</v>
      </c>
      <c r="D33" t="s">
        <v>162</v>
      </c>
    </row>
    <row r="34" spans="1:4" ht="12.75">
      <c r="A34" t="s">
        <v>167</v>
      </c>
      <c r="B34" s="7" t="s">
        <v>161</v>
      </c>
      <c r="C34">
        <f>60/0.6214</f>
        <v>96.5561635017702</v>
      </c>
      <c r="D34" t="s">
        <v>162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workbookViewId="0" topLeftCell="A31">
      <selection activeCell="C58" sqref="C58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249</v>
      </c>
    </row>
    <row r="6" spans="3:9" ht="12.75">
      <c r="C6" t="s">
        <v>250</v>
      </c>
      <c r="D6" t="s">
        <v>251</v>
      </c>
      <c r="F6">
        <f>116+105</f>
        <v>221</v>
      </c>
      <c r="I6" s="13">
        <f>F6/Summary!C34</f>
        <v>2.288823333333333</v>
      </c>
    </row>
    <row r="7" spans="3:9" ht="12.75">
      <c r="C7" t="s">
        <v>251</v>
      </c>
      <c r="D7" t="s">
        <v>252</v>
      </c>
      <c r="F7">
        <v>100</v>
      </c>
      <c r="H7">
        <v>2</v>
      </c>
      <c r="I7" s="13">
        <f>F7/Summary!C33</f>
        <v>2.0713333333333335</v>
      </c>
    </row>
    <row r="8" ht="12.75">
      <c r="B8" t="s">
        <v>258</v>
      </c>
    </row>
    <row r="9" spans="3:6" ht="12.75">
      <c r="C9" t="s">
        <v>252</v>
      </c>
      <c r="D9" t="s">
        <v>253</v>
      </c>
      <c r="F9">
        <v>75</v>
      </c>
    </row>
    <row r="10" spans="3:6" ht="12.75">
      <c r="C10" t="s">
        <v>253</v>
      </c>
      <c r="D10" t="s">
        <v>254</v>
      </c>
      <c r="F10">
        <f>50+72</f>
        <v>122</v>
      </c>
    </row>
    <row r="11" spans="3:6" ht="12.75">
      <c r="C11" t="s">
        <v>254</v>
      </c>
      <c r="D11" t="s">
        <v>255</v>
      </c>
      <c r="F11">
        <v>50</v>
      </c>
    </row>
    <row r="12" spans="3:6" ht="12.75">
      <c r="C12" t="s">
        <v>255</v>
      </c>
      <c r="D12" t="s">
        <v>256</v>
      </c>
      <c r="F12">
        <f>6+20+95</f>
        <v>121</v>
      </c>
    </row>
    <row r="13" spans="3:6" ht="12.75">
      <c r="C13" t="s">
        <v>256</v>
      </c>
      <c r="D13" t="s">
        <v>257</v>
      </c>
      <c r="F13">
        <v>40</v>
      </c>
    </row>
    <row r="14" spans="3:8" ht="12.75">
      <c r="C14" t="s">
        <v>257</v>
      </c>
      <c r="D14" t="s">
        <v>253</v>
      </c>
      <c r="F14">
        <f>20+20+90</f>
        <v>130</v>
      </c>
      <c r="H14">
        <v>4</v>
      </c>
    </row>
    <row r="16" spans="3:6" ht="12.75">
      <c r="C16" t="s">
        <v>253</v>
      </c>
      <c r="D16" t="s">
        <v>252</v>
      </c>
      <c r="F16">
        <v>75</v>
      </c>
    </row>
    <row r="17" spans="3:6" ht="12.75">
      <c r="C17" t="s">
        <v>252</v>
      </c>
      <c r="D17" t="s">
        <v>259</v>
      </c>
      <c r="F17">
        <v>85</v>
      </c>
    </row>
    <row r="18" spans="3:9" ht="12.75">
      <c r="C18" t="s">
        <v>259</v>
      </c>
      <c r="D18" t="s">
        <v>260</v>
      </c>
      <c r="F18">
        <v>40</v>
      </c>
      <c r="H18">
        <v>3</v>
      </c>
      <c r="I18" s="13">
        <f>SUM(F16:F18)/Summary!C33</f>
        <v>4.142666666666667</v>
      </c>
    </row>
    <row r="20" spans="3:6" ht="12.75">
      <c r="C20" t="s">
        <v>259</v>
      </c>
      <c r="D20" t="s">
        <v>261</v>
      </c>
      <c r="F20">
        <v>126</v>
      </c>
    </row>
    <row r="21" spans="3:6" ht="12.75">
      <c r="C21" t="s">
        <v>261</v>
      </c>
      <c r="D21" t="s">
        <v>262</v>
      </c>
      <c r="F21">
        <v>130</v>
      </c>
    </row>
    <row r="22" spans="3:8" ht="12.75">
      <c r="C22" t="s">
        <v>262</v>
      </c>
      <c r="D22" t="s">
        <v>263</v>
      </c>
      <c r="F22">
        <v>90</v>
      </c>
      <c r="H22">
        <v>2</v>
      </c>
    </row>
    <row r="24" spans="3:6" ht="12.75">
      <c r="C24" t="s">
        <v>263</v>
      </c>
      <c r="D24" t="s">
        <v>264</v>
      </c>
      <c r="F24">
        <v>48</v>
      </c>
    </row>
    <row r="25" spans="3:6" ht="12.75">
      <c r="C25" t="s">
        <v>264</v>
      </c>
      <c r="D25" t="s">
        <v>265</v>
      </c>
      <c r="F25">
        <v>50</v>
      </c>
    </row>
    <row r="26" spans="3:8" ht="12.75">
      <c r="C26" t="s">
        <v>265</v>
      </c>
      <c r="D26" t="s">
        <v>266</v>
      </c>
      <c r="F26">
        <v>20</v>
      </c>
      <c r="H26">
        <v>3</v>
      </c>
    </row>
    <row r="28" spans="3:8" ht="12.75">
      <c r="C28" t="s">
        <v>266</v>
      </c>
      <c r="D28" t="s">
        <v>267</v>
      </c>
      <c r="F28">
        <v>50</v>
      </c>
      <c r="H28">
        <v>3</v>
      </c>
    </row>
    <row r="30" spans="3:6" ht="12.75">
      <c r="C30" t="s">
        <v>267</v>
      </c>
      <c r="D30" t="s">
        <v>268</v>
      </c>
      <c r="F30">
        <f>80+108</f>
        <v>188</v>
      </c>
    </row>
    <row r="31" spans="3:9" ht="12.75">
      <c r="C31" t="s">
        <v>268</v>
      </c>
      <c r="D31" t="s">
        <v>269</v>
      </c>
      <c r="F31">
        <f>112+109+36+37+81</f>
        <v>375</v>
      </c>
      <c r="H31">
        <v>5</v>
      </c>
      <c r="I31" s="13">
        <f>SUM(F30:F31)/Summary!C32</f>
        <v>8.746205</v>
      </c>
    </row>
    <row r="33" spans="3:9" ht="12.75">
      <c r="C33" t="s">
        <v>269</v>
      </c>
      <c r="D33" t="s">
        <v>270</v>
      </c>
      <c r="F33">
        <f>60+25+88+12</f>
        <v>185</v>
      </c>
      <c r="H33">
        <v>3</v>
      </c>
      <c r="I33" s="13">
        <f>F33/Summary!C32</f>
        <v>2.8739749999999997</v>
      </c>
    </row>
    <row r="35" spans="3:9" ht="12.75">
      <c r="C35" t="s">
        <v>270</v>
      </c>
      <c r="D35" t="s">
        <v>271</v>
      </c>
      <c r="F35">
        <f>74+103+117</f>
        <v>294</v>
      </c>
      <c r="H35">
        <v>3</v>
      </c>
      <c r="I35" s="13">
        <f>F35/Summary!C32</f>
        <v>4.56729</v>
      </c>
    </row>
    <row r="37" spans="3:9" ht="12.75">
      <c r="C37" t="s">
        <v>271</v>
      </c>
      <c r="D37" t="s">
        <v>272</v>
      </c>
      <c r="F37">
        <f>100+103</f>
        <v>203</v>
      </c>
      <c r="H37">
        <v>2</v>
      </c>
      <c r="I37" s="13">
        <f>F37/Summary!C32</f>
        <v>3.1536049999999998</v>
      </c>
    </row>
    <row r="39" spans="3:6" ht="12.75">
      <c r="C39" t="s">
        <v>272</v>
      </c>
      <c r="D39" t="s">
        <v>273</v>
      </c>
      <c r="F39">
        <v>371</v>
      </c>
    </row>
    <row r="40" spans="3:9" ht="12.75">
      <c r="C40" t="s">
        <v>273</v>
      </c>
      <c r="D40" t="s">
        <v>274</v>
      </c>
      <c r="F40">
        <v>78</v>
      </c>
      <c r="H40">
        <v>4</v>
      </c>
      <c r="I40" s="13">
        <f>SUM(F39:F40)/Summary!C32</f>
        <v>6.9752149999999995</v>
      </c>
    </row>
    <row r="42" spans="3:6" ht="12.75">
      <c r="C42" t="s">
        <v>274</v>
      </c>
      <c r="D42" t="s">
        <v>273</v>
      </c>
      <c r="F42">
        <v>78</v>
      </c>
    </row>
    <row r="43" spans="3:9" ht="12.75">
      <c r="C43" t="s">
        <v>273</v>
      </c>
      <c r="D43" t="s">
        <v>275</v>
      </c>
      <c r="F43">
        <f>145+375</f>
        <v>520</v>
      </c>
      <c r="H43">
        <v>4</v>
      </c>
      <c r="I43" s="13">
        <f>SUM(F42:F43)/Summary!C32</f>
        <v>9.28993</v>
      </c>
    </row>
    <row r="45" spans="3:6" ht="12.75">
      <c r="C45" t="s">
        <v>267</v>
      </c>
      <c r="D45" t="s">
        <v>268</v>
      </c>
      <c r="F45">
        <f>80+108</f>
        <v>188</v>
      </c>
    </row>
    <row r="46" spans="3:8" ht="12.75">
      <c r="C46" t="s">
        <v>268</v>
      </c>
      <c r="D46" t="s">
        <v>269</v>
      </c>
      <c r="F46">
        <f>112+109+36+37+81</f>
        <v>375</v>
      </c>
      <c r="H46">
        <v>1</v>
      </c>
    </row>
    <row r="48" spans="3:8" ht="12.75">
      <c r="C48" t="s">
        <v>269</v>
      </c>
      <c r="D48" t="s">
        <v>270</v>
      </c>
      <c r="F48">
        <f>60+25+88+12</f>
        <v>185</v>
      </c>
      <c r="H48">
        <v>1</v>
      </c>
    </row>
    <row r="50" spans="3:8" ht="12.75">
      <c r="C50" t="s">
        <v>270</v>
      </c>
      <c r="D50" t="s">
        <v>276</v>
      </c>
      <c r="F50">
        <f>62+159</f>
        <v>221</v>
      </c>
      <c r="H50">
        <v>1</v>
      </c>
    </row>
    <row r="52" spans="6:8" ht="12.75">
      <c r="F52" s="5">
        <f>SUM(F5:F51)</f>
        <v>4834</v>
      </c>
      <c r="H52" s="5">
        <f>SUM(H5:H51)</f>
        <v>41</v>
      </c>
    </row>
  </sheetData>
  <printOptions/>
  <pageMargins left="1" right="1" top="1.25" bottom="1" header="0.5" footer="0.5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2"/>
  <sheetViews>
    <sheetView workbookViewId="0" topLeftCell="A32">
      <selection activeCell="C54" sqref="C54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278</v>
      </c>
    </row>
    <row r="6" spans="3:9" ht="12.75">
      <c r="C6" t="s">
        <v>276</v>
      </c>
      <c r="D6" t="s">
        <v>279</v>
      </c>
      <c r="F6">
        <v>155</v>
      </c>
      <c r="H6">
        <v>1</v>
      </c>
      <c r="I6" s="13">
        <v>6</v>
      </c>
    </row>
    <row r="8" spans="3:9" ht="12.75">
      <c r="C8" t="s">
        <v>279</v>
      </c>
      <c r="D8" t="s">
        <v>280</v>
      </c>
      <c r="F8">
        <v>227</v>
      </c>
      <c r="H8">
        <v>1</v>
      </c>
      <c r="I8" s="13">
        <f>F8/Summary!C32</f>
        <v>3.526445</v>
      </c>
    </row>
    <row r="10" spans="3:9" ht="12.75">
      <c r="C10" t="s">
        <v>280</v>
      </c>
      <c r="D10" t="s">
        <v>281</v>
      </c>
      <c r="F10">
        <v>187</v>
      </c>
      <c r="H10">
        <v>3</v>
      </c>
      <c r="I10" s="13">
        <f>F10/Summary!C32</f>
        <v>2.905045</v>
      </c>
    </row>
    <row r="12" spans="3:9" ht="12.75">
      <c r="C12" t="s">
        <v>281</v>
      </c>
      <c r="D12" t="s">
        <v>288</v>
      </c>
      <c r="F12">
        <v>312</v>
      </c>
      <c r="H12">
        <v>4</v>
      </c>
      <c r="I12" s="13">
        <f>F12/Summary!C33</f>
        <v>6.46256</v>
      </c>
    </row>
    <row r="14" spans="3:9" ht="12.75">
      <c r="C14" t="s">
        <v>288</v>
      </c>
      <c r="D14" t="s">
        <v>289</v>
      </c>
      <c r="F14">
        <v>283</v>
      </c>
      <c r="H14">
        <v>2</v>
      </c>
      <c r="I14" s="13">
        <f>F14/Summary!C33</f>
        <v>5.8618733333333335</v>
      </c>
    </row>
    <row r="16" spans="3:9" ht="12.75">
      <c r="C16" t="s">
        <v>289</v>
      </c>
      <c r="D16" t="s">
        <v>282</v>
      </c>
      <c r="F16">
        <v>400</v>
      </c>
      <c r="H16">
        <v>3</v>
      </c>
      <c r="I16" s="13">
        <f>F16/Summary!C33</f>
        <v>8.285333333333334</v>
      </c>
    </row>
    <row r="22" spans="6:8" ht="12.75">
      <c r="F22" s="5">
        <f>SUM(F6:F20)</f>
        <v>1564</v>
      </c>
      <c r="H22" s="5">
        <f>SUM(H6:H20)</f>
        <v>14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"/>
  <sheetViews>
    <sheetView workbookViewId="0" topLeftCell="A31">
      <selection activeCell="C51" sqref="C51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285</v>
      </c>
    </row>
    <row r="6" spans="3:8" ht="12.75">
      <c r="C6" t="s">
        <v>282</v>
      </c>
      <c r="D6" t="s">
        <v>286</v>
      </c>
      <c r="E6" t="s">
        <v>287</v>
      </c>
      <c r="H6">
        <v>4</v>
      </c>
    </row>
    <row r="8" spans="3:9" ht="12.75">
      <c r="C8" t="s">
        <v>286</v>
      </c>
      <c r="D8" t="s">
        <v>290</v>
      </c>
      <c r="F8">
        <f>110+188</f>
        <v>298</v>
      </c>
      <c r="H8">
        <v>3</v>
      </c>
      <c r="I8" s="13">
        <f>F8/Summary!C32</f>
        <v>4.62943</v>
      </c>
    </row>
    <row r="10" spans="3:9" ht="12.75">
      <c r="C10" t="s">
        <v>290</v>
      </c>
      <c r="D10" t="s">
        <v>291</v>
      </c>
      <c r="F10">
        <f>161+53</f>
        <v>214</v>
      </c>
      <c r="H10">
        <v>3</v>
      </c>
      <c r="I10" s="13">
        <f>F10/Summary!C32</f>
        <v>3.32449</v>
      </c>
    </row>
    <row r="12" spans="3:9" ht="12.75">
      <c r="C12" t="s">
        <v>291</v>
      </c>
      <c r="D12" t="s">
        <v>290</v>
      </c>
      <c r="F12">
        <f>F10</f>
        <v>214</v>
      </c>
      <c r="H12">
        <v>1</v>
      </c>
      <c r="I12" s="13">
        <f>F12/Summary!C33</f>
        <v>4.432653333333334</v>
      </c>
    </row>
    <row r="14" spans="3:9" ht="12.75">
      <c r="C14" t="s">
        <v>290</v>
      </c>
      <c r="D14" t="s">
        <v>292</v>
      </c>
      <c r="F14">
        <f>272+372</f>
        <v>644</v>
      </c>
      <c r="H14">
        <v>5</v>
      </c>
      <c r="I14" s="13">
        <f>F14/Summary!C32</f>
        <v>10.00454</v>
      </c>
    </row>
    <row r="16" spans="3:9" ht="12.75">
      <c r="C16" t="s">
        <v>292</v>
      </c>
      <c r="D16" t="s">
        <v>293</v>
      </c>
      <c r="F16">
        <v>130</v>
      </c>
      <c r="H16">
        <v>2</v>
      </c>
      <c r="I16" s="13">
        <f>F16/Summary!C32</f>
        <v>2.0195499999999997</v>
      </c>
    </row>
    <row r="18" spans="3:9" ht="12.75">
      <c r="C18" t="s">
        <v>293</v>
      </c>
      <c r="D18" t="s">
        <v>294</v>
      </c>
      <c r="F18">
        <f>291+100+120</f>
        <v>511</v>
      </c>
      <c r="H18">
        <v>2</v>
      </c>
      <c r="I18" s="13">
        <f>F18/Summary!C32</f>
        <v>7.938384999999999</v>
      </c>
    </row>
    <row r="21" spans="6:8" ht="12.75">
      <c r="F21" s="5">
        <f>SUM(F6:F20)</f>
        <v>2011</v>
      </c>
      <c r="H21" s="5">
        <f>SUM(H6:H20)</f>
        <v>20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7"/>
  <sheetViews>
    <sheetView workbookViewId="0" topLeftCell="A31">
      <selection activeCell="C50" sqref="C50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spans="1:9" ht="12.75">
      <c r="A5" s="4" t="s">
        <v>295</v>
      </c>
      <c r="C5" t="s">
        <v>296</v>
      </c>
      <c r="D5" t="s">
        <v>297</v>
      </c>
      <c r="F5">
        <f>21+60+58+292+102</f>
        <v>533</v>
      </c>
      <c r="H5">
        <v>5</v>
      </c>
      <c r="I5" s="13">
        <f>F5/Summary!C32</f>
        <v>8.280154999999999</v>
      </c>
    </row>
    <row r="7" spans="3:9" ht="12.75">
      <c r="C7" t="s">
        <v>297</v>
      </c>
      <c r="D7" t="s">
        <v>298</v>
      </c>
      <c r="F7">
        <f>161+400+249+57+37</f>
        <v>904</v>
      </c>
      <c r="H7">
        <v>5</v>
      </c>
      <c r="I7" s="13">
        <f>F7/Summary!C32</f>
        <v>14.04364</v>
      </c>
    </row>
    <row r="9" spans="3:9" ht="12.75">
      <c r="C9" t="s">
        <v>298</v>
      </c>
      <c r="D9" t="s">
        <v>299</v>
      </c>
      <c r="F9">
        <f>60+60</f>
        <v>120</v>
      </c>
      <c r="H9">
        <v>4</v>
      </c>
      <c r="I9" s="13">
        <f>F9/Summary!C32</f>
        <v>1.8641999999999999</v>
      </c>
    </row>
    <row r="11" spans="3:9" ht="12.75">
      <c r="C11" t="s">
        <v>299</v>
      </c>
      <c r="D11" t="s">
        <v>300</v>
      </c>
      <c r="F11">
        <f>43+17</f>
        <v>60</v>
      </c>
      <c r="H11">
        <v>1</v>
      </c>
      <c r="I11" s="13">
        <f>F11/Summary!C32</f>
        <v>0.9320999999999999</v>
      </c>
    </row>
    <row r="13" spans="3:9" ht="12.75">
      <c r="C13" t="s">
        <v>300</v>
      </c>
      <c r="D13" t="s">
        <v>301</v>
      </c>
      <c r="F13">
        <f>75+81+80+241+95</f>
        <v>572</v>
      </c>
      <c r="H13">
        <v>5</v>
      </c>
      <c r="I13" s="13">
        <f>F13/Summary!C33</f>
        <v>11.848026666666666</v>
      </c>
    </row>
    <row r="15" spans="3:9" ht="12.75">
      <c r="C15" t="s">
        <v>301</v>
      </c>
      <c r="D15" t="s">
        <v>302</v>
      </c>
      <c r="F15">
        <f>95+241+80+78+41+60</f>
        <v>595</v>
      </c>
      <c r="H15">
        <v>3</v>
      </c>
      <c r="I15" s="13">
        <f>F15/Summary!C33</f>
        <v>12.324433333333333</v>
      </c>
    </row>
    <row r="17" spans="6:8" ht="12.75">
      <c r="F17" s="5">
        <f>SUM(F5:F16)</f>
        <v>2784</v>
      </c>
      <c r="H17" s="5">
        <f>SUM(H5:H16)</f>
        <v>23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3"/>
  <sheetViews>
    <sheetView workbookViewId="0" topLeftCell="A31">
      <selection activeCell="C54" sqref="C54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303</v>
      </c>
    </row>
    <row r="6" spans="3:9" ht="12.75">
      <c r="C6" t="s">
        <v>304</v>
      </c>
      <c r="D6" t="s">
        <v>305</v>
      </c>
      <c r="F6">
        <f>33+46+52</f>
        <v>131</v>
      </c>
      <c r="H6">
        <v>3</v>
      </c>
      <c r="I6" s="13">
        <f>F6/Summary!C34</f>
        <v>1.3567233333333333</v>
      </c>
    </row>
    <row r="8" spans="3:9" ht="12.75">
      <c r="C8" t="s">
        <v>305</v>
      </c>
      <c r="D8" t="s">
        <v>306</v>
      </c>
      <c r="F8">
        <f>52+62+73+137+64</f>
        <v>388</v>
      </c>
      <c r="H8">
        <v>2</v>
      </c>
      <c r="I8" s="13">
        <f>F8/Summary!C34</f>
        <v>4.018386666666666</v>
      </c>
    </row>
    <row r="10" spans="3:9" ht="12.75">
      <c r="C10" t="s">
        <v>306</v>
      </c>
      <c r="D10" t="s">
        <v>307</v>
      </c>
      <c r="F10">
        <f>48+55</f>
        <v>103</v>
      </c>
      <c r="H10">
        <v>1</v>
      </c>
      <c r="I10" s="13">
        <f>F10/Summary!C32</f>
        <v>1.6001049999999999</v>
      </c>
    </row>
    <row r="12" spans="3:9" ht="12.75">
      <c r="C12" t="s">
        <v>307</v>
      </c>
      <c r="D12" t="s">
        <v>308</v>
      </c>
      <c r="F12">
        <v>117</v>
      </c>
      <c r="H12">
        <v>1</v>
      </c>
      <c r="I12" s="13">
        <f>F12/Summary!C32</f>
        <v>1.8175949999999998</v>
      </c>
    </row>
    <row r="14" spans="3:9" ht="12.75">
      <c r="C14" t="s">
        <v>308</v>
      </c>
      <c r="D14" t="s">
        <v>309</v>
      </c>
      <c r="F14">
        <f>67+57</f>
        <v>124</v>
      </c>
      <c r="H14">
        <v>2</v>
      </c>
      <c r="I14" s="13">
        <f>F14/Summary!C32</f>
        <v>1.92634</v>
      </c>
    </row>
    <row r="16" spans="3:9" ht="12.75">
      <c r="C16" t="s">
        <v>309</v>
      </c>
      <c r="D16" t="s">
        <v>310</v>
      </c>
      <c r="F16">
        <v>68</v>
      </c>
      <c r="H16">
        <v>1</v>
      </c>
      <c r="I16" s="13">
        <f>F16/Summary!C32</f>
        <v>1.0563799999999999</v>
      </c>
    </row>
    <row r="18" spans="3:9" ht="12.75">
      <c r="C18" t="s">
        <v>310</v>
      </c>
      <c r="D18" t="s">
        <v>312</v>
      </c>
      <c r="F18">
        <v>90</v>
      </c>
      <c r="H18">
        <v>2</v>
      </c>
      <c r="I18" s="13">
        <f>F18/Summary!C32</f>
        <v>1.39815</v>
      </c>
    </row>
    <row r="20" spans="3:9" ht="12.75">
      <c r="C20" t="s">
        <v>312</v>
      </c>
      <c r="D20" t="s">
        <v>311</v>
      </c>
      <c r="F20">
        <v>100</v>
      </c>
      <c r="H20">
        <v>2</v>
      </c>
      <c r="I20" s="13">
        <f>F20/Summary!C34</f>
        <v>1.0356666666666667</v>
      </c>
    </row>
    <row r="23" spans="6:8" ht="12.75">
      <c r="F23" s="5">
        <f>SUM(F6:F22)</f>
        <v>1121</v>
      </c>
      <c r="H23" s="5">
        <f>SUM(H6:H22)</f>
        <v>14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J60"/>
  <sheetViews>
    <sheetView workbookViewId="0" topLeftCell="A1">
      <selection activeCell="D5" sqref="D5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230</v>
      </c>
    </row>
    <row r="60" ht="12.75">
      <c r="F60" s="5">
        <f>SUM(F6:F59)</f>
        <v>0</v>
      </c>
    </row>
  </sheetData>
  <printOptions/>
  <pageMargins left="1" right="1" top="1.25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3"/>
  <sheetViews>
    <sheetView showGridLines="0" workbookViewId="0" topLeftCell="A1">
      <selection activeCell="A1" sqref="A1"/>
    </sheetView>
  </sheetViews>
  <sheetFormatPr defaultColWidth="9.140625" defaultRowHeight="12.75" outlineLevelRow="1"/>
  <cols>
    <col min="1" max="1" width="8.8515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3" spans="1:8" ht="45" customHeight="1" outlineLevel="1">
      <c r="A3" s="3" t="s">
        <v>1</v>
      </c>
      <c r="B3" s="16"/>
      <c r="C3" s="16"/>
      <c r="D3" s="16"/>
      <c r="E3" s="16"/>
      <c r="F3" s="16"/>
      <c r="G3" s="16"/>
      <c r="H3" s="16"/>
    </row>
    <row r="5" spans="1:8" ht="45" customHeight="1" outlineLevel="1">
      <c r="A5" s="3" t="s">
        <v>2</v>
      </c>
      <c r="B5" s="16"/>
      <c r="C5" s="16"/>
      <c r="D5" s="16"/>
      <c r="E5" s="16"/>
      <c r="F5" s="16"/>
      <c r="G5" s="16"/>
      <c r="H5" s="16"/>
    </row>
    <row r="7" spans="1:8" ht="45" customHeight="1" outlineLevel="1">
      <c r="A7" s="3" t="s">
        <v>3</v>
      </c>
      <c r="B7" s="16"/>
      <c r="C7" s="16"/>
      <c r="D7" s="16"/>
      <c r="E7" s="16"/>
      <c r="F7" s="16"/>
      <c r="G7" s="16"/>
      <c r="H7" s="16"/>
    </row>
    <row r="9" spans="1:8" ht="45" customHeight="1" hidden="1" outlineLevel="1">
      <c r="A9" s="3" t="s">
        <v>4</v>
      </c>
      <c r="B9" s="16"/>
      <c r="C9" s="16"/>
      <c r="D9" s="16"/>
      <c r="E9" s="16"/>
      <c r="F9" s="16"/>
      <c r="G9" s="16"/>
      <c r="H9" s="16"/>
    </row>
    <row r="10" ht="12.75" collapsed="1"/>
    <row r="11" spans="1:8" ht="45" customHeight="1" hidden="1" outlineLevel="1">
      <c r="A11" s="3" t="s">
        <v>5</v>
      </c>
      <c r="B11" s="16"/>
      <c r="C11" s="16"/>
      <c r="D11" s="16"/>
      <c r="E11" s="16"/>
      <c r="F11" s="16"/>
      <c r="G11" s="16"/>
      <c r="H11" s="16"/>
    </row>
    <row r="12" ht="12.75" customHeight="1" collapsed="1"/>
    <row r="13" spans="1:8" ht="45" customHeight="1" hidden="1" outlineLevel="1">
      <c r="A13" s="3" t="s">
        <v>6</v>
      </c>
      <c r="B13" s="16"/>
      <c r="C13" s="16"/>
      <c r="D13" s="16"/>
      <c r="E13" s="16"/>
      <c r="F13" s="16"/>
      <c r="G13" s="16"/>
      <c r="H13" s="16"/>
    </row>
    <row r="14" ht="12.75" customHeight="1" collapsed="1"/>
    <row r="15" spans="1:8" ht="45" customHeight="1" hidden="1" outlineLevel="1">
      <c r="A15" s="3" t="s">
        <v>7</v>
      </c>
      <c r="B15" s="16"/>
      <c r="C15" s="16"/>
      <c r="D15" s="16"/>
      <c r="E15" s="16"/>
      <c r="F15" s="16"/>
      <c r="G15" s="16"/>
      <c r="H15" s="16"/>
    </row>
    <row r="16" ht="12.75" customHeight="1" collapsed="1"/>
    <row r="17" spans="1:8" ht="45" customHeight="1" hidden="1" outlineLevel="1">
      <c r="A17" s="3" t="s">
        <v>8</v>
      </c>
      <c r="B17" s="16"/>
      <c r="C17" s="16"/>
      <c r="D17" s="16"/>
      <c r="E17" s="16"/>
      <c r="F17" s="16"/>
      <c r="G17" s="16"/>
      <c r="H17" s="16"/>
    </row>
    <row r="18" ht="12.75" customHeight="1" collapsed="1"/>
    <row r="19" spans="1:8" ht="45" customHeight="1" hidden="1" outlineLevel="1">
      <c r="A19" s="3" t="s">
        <v>9</v>
      </c>
      <c r="B19" s="16"/>
      <c r="C19" s="16"/>
      <c r="D19" s="16"/>
      <c r="E19" s="16"/>
      <c r="F19" s="16"/>
      <c r="G19" s="16"/>
      <c r="H19" s="16"/>
    </row>
    <row r="20" ht="12.75" customHeight="1" collapsed="1"/>
    <row r="21" spans="1:8" ht="45" customHeight="1" hidden="1" outlineLevel="1">
      <c r="A21" s="3" t="s">
        <v>10</v>
      </c>
      <c r="B21" s="16"/>
      <c r="C21" s="16"/>
      <c r="D21" s="16"/>
      <c r="E21" s="16"/>
      <c r="F21" s="16"/>
      <c r="G21" s="16"/>
      <c r="H21" s="16"/>
    </row>
    <row r="22" ht="12.75" customHeight="1" collapsed="1"/>
    <row r="23" spans="1:8" ht="45" customHeight="1" hidden="1" outlineLevel="1">
      <c r="A23" s="3" t="s">
        <v>11</v>
      </c>
      <c r="B23" s="16"/>
      <c r="C23" s="16"/>
      <c r="D23" s="16"/>
      <c r="E23" s="16"/>
      <c r="F23" s="16"/>
      <c r="G23" s="16"/>
      <c r="H23" s="16"/>
    </row>
    <row r="24" ht="12.75" customHeight="1" collapsed="1"/>
    <row r="25" spans="1:8" ht="45" customHeight="1" hidden="1" outlineLevel="1">
      <c r="A25" s="3" t="s">
        <v>12</v>
      </c>
      <c r="B25" s="16"/>
      <c r="C25" s="16"/>
      <c r="D25" s="16"/>
      <c r="E25" s="16"/>
      <c r="F25" s="16"/>
      <c r="G25" s="16"/>
      <c r="H25" s="16"/>
    </row>
    <row r="26" ht="12.75" customHeight="1" collapsed="1"/>
    <row r="27" spans="1:8" ht="45" customHeight="1" hidden="1" outlineLevel="1">
      <c r="A27" s="3" t="s">
        <v>13</v>
      </c>
      <c r="B27" s="16"/>
      <c r="C27" s="16"/>
      <c r="D27" s="16"/>
      <c r="E27" s="16"/>
      <c r="F27" s="16"/>
      <c r="G27" s="16"/>
      <c r="H27" s="16"/>
    </row>
    <row r="28" ht="12.75" customHeight="1" collapsed="1"/>
    <row r="29" spans="1:8" ht="45" customHeight="1" hidden="1" outlineLevel="1">
      <c r="A29" s="3" t="s">
        <v>14</v>
      </c>
      <c r="B29" s="16"/>
      <c r="C29" s="16"/>
      <c r="D29" s="16"/>
      <c r="E29" s="16"/>
      <c r="F29" s="16"/>
      <c r="G29" s="16"/>
      <c r="H29" s="16"/>
    </row>
    <row r="30" ht="12.75" customHeight="1" collapsed="1"/>
    <row r="31" spans="1:8" ht="45" customHeight="1" hidden="1" outlineLevel="1">
      <c r="A31" s="3" t="s">
        <v>15</v>
      </c>
      <c r="B31" s="16"/>
      <c r="C31" s="16"/>
      <c r="D31" s="16"/>
      <c r="E31" s="16"/>
      <c r="F31" s="16"/>
      <c r="G31" s="16"/>
      <c r="H31" s="16"/>
    </row>
    <row r="32" ht="12.75" customHeight="1" collapsed="1"/>
    <row r="33" spans="1:8" ht="45" customHeight="1" hidden="1" outlineLevel="1">
      <c r="A33" s="3" t="s">
        <v>16</v>
      </c>
      <c r="B33" s="16"/>
      <c r="C33" s="16"/>
      <c r="D33" s="16"/>
      <c r="E33" s="16"/>
      <c r="F33" s="16"/>
      <c r="G33" s="16"/>
      <c r="H33" s="16"/>
    </row>
    <row r="34" ht="12.75" customHeight="1" collapsed="1"/>
    <row r="35" spans="1:8" ht="45" customHeight="1" hidden="1" outlineLevel="1">
      <c r="A35" s="3" t="s">
        <v>17</v>
      </c>
      <c r="B35" s="16"/>
      <c r="C35" s="16"/>
      <c r="D35" s="16"/>
      <c r="E35" s="16"/>
      <c r="F35" s="16"/>
      <c r="G35" s="16"/>
      <c r="H35" s="16"/>
    </row>
    <row r="36" ht="12.75" customHeight="1" collapsed="1"/>
    <row r="37" spans="1:8" ht="45" customHeight="1" hidden="1" outlineLevel="1">
      <c r="A37" s="3" t="s">
        <v>18</v>
      </c>
      <c r="B37" s="16"/>
      <c r="C37" s="16"/>
      <c r="D37" s="16"/>
      <c r="E37" s="16"/>
      <c r="F37" s="16"/>
      <c r="G37" s="16"/>
      <c r="H37" s="16"/>
    </row>
    <row r="38" ht="12.75" customHeight="1" collapsed="1"/>
    <row r="39" spans="1:8" ht="45" customHeight="1" hidden="1" outlineLevel="1">
      <c r="A39" s="3" t="s">
        <v>19</v>
      </c>
      <c r="B39" s="16"/>
      <c r="C39" s="16"/>
      <c r="D39" s="16"/>
      <c r="E39" s="16"/>
      <c r="F39" s="16"/>
      <c r="G39" s="16"/>
      <c r="H39" s="16"/>
    </row>
    <row r="40" ht="12.75" customHeight="1" collapsed="1"/>
    <row r="41" spans="1:8" ht="45" customHeight="1" hidden="1" outlineLevel="1">
      <c r="A41" s="3" t="s">
        <v>20</v>
      </c>
      <c r="B41" s="16"/>
      <c r="C41" s="16"/>
      <c r="D41" s="16"/>
      <c r="E41" s="16"/>
      <c r="F41" s="16"/>
      <c r="G41" s="16"/>
      <c r="H41" s="16"/>
    </row>
    <row r="42" ht="12.75" customHeight="1" collapsed="1"/>
    <row r="43" spans="1:8" ht="45" customHeight="1" hidden="1" outlineLevel="1">
      <c r="A43" s="3" t="s">
        <v>21</v>
      </c>
      <c r="B43" s="16"/>
      <c r="C43" s="16"/>
      <c r="D43" s="16"/>
      <c r="E43" s="16"/>
      <c r="F43" s="16"/>
      <c r="G43" s="16"/>
      <c r="H43" s="16"/>
    </row>
    <row r="44" ht="12.75" customHeight="1" collapsed="1"/>
    <row r="45" spans="1:8" ht="45" customHeight="1" hidden="1" outlineLevel="1">
      <c r="A45" s="3" t="s">
        <v>22</v>
      </c>
      <c r="B45" s="16"/>
      <c r="C45" s="16"/>
      <c r="D45" s="16"/>
      <c r="E45" s="16"/>
      <c r="F45" s="16"/>
      <c r="G45" s="16"/>
      <c r="H45" s="16"/>
    </row>
    <row r="46" ht="12.75" customHeight="1" collapsed="1"/>
    <row r="47" spans="1:8" ht="45" customHeight="1" hidden="1" outlineLevel="1">
      <c r="A47" s="3" t="s">
        <v>23</v>
      </c>
      <c r="B47" s="16"/>
      <c r="C47" s="16"/>
      <c r="D47" s="16"/>
      <c r="E47" s="16"/>
      <c r="F47" s="16"/>
      <c r="G47" s="16"/>
      <c r="H47" s="16"/>
    </row>
    <row r="48" ht="12.75" customHeight="1" collapsed="1"/>
    <row r="49" spans="1:8" ht="45" customHeight="1" hidden="1" outlineLevel="1">
      <c r="A49" s="3" t="s">
        <v>24</v>
      </c>
      <c r="B49" s="16"/>
      <c r="C49" s="16"/>
      <c r="D49" s="16"/>
      <c r="E49" s="16"/>
      <c r="F49" s="16"/>
      <c r="G49" s="16"/>
      <c r="H49" s="16"/>
    </row>
    <row r="50" ht="12.75" customHeight="1" collapsed="1"/>
    <row r="51" spans="1:8" ht="45" customHeight="1" hidden="1" outlineLevel="1">
      <c r="A51" s="3" t="s">
        <v>25</v>
      </c>
      <c r="B51" s="16"/>
      <c r="C51" s="16"/>
      <c r="D51" s="16"/>
      <c r="E51" s="16"/>
      <c r="F51" s="16"/>
      <c r="G51" s="16"/>
      <c r="H51" s="16"/>
    </row>
    <row r="52" ht="12.75" customHeight="1" collapsed="1"/>
    <row r="53" spans="1:8" ht="45" customHeight="1" hidden="1" outlineLevel="1">
      <c r="A53" s="3" t="s">
        <v>26</v>
      </c>
      <c r="B53" s="16"/>
      <c r="C53" s="16"/>
      <c r="D53" s="16"/>
      <c r="E53" s="16"/>
      <c r="F53" s="16"/>
      <c r="G53" s="16"/>
      <c r="H53" s="16"/>
    </row>
    <row r="54" ht="12.75" collapsed="1"/>
  </sheetData>
  <mergeCells count="26">
    <mergeCell ref="B51:H51"/>
    <mergeCell ref="B53:H53"/>
    <mergeCell ref="B43:H43"/>
    <mergeCell ref="B45:H45"/>
    <mergeCell ref="B47:H47"/>
    <mergeCell ref="B49:H49"/>
    <mergeCell ref="B35:H35"/>
    <mergeCell ref="B37:H37"/>
    <mergeCell ref="B39:H39"/>
    <mergeCell ref="B41:H41"/>
    <mergeCell ref="B27:H27"/>
    <mergeCell ref="B29:H29"/>
    <mergeCell ref="B31:H31"/>
    <mergeCell ref="B33:H33"/>
    <mergeCell ref="B19:H19"/>
    <mergeCell ref="B21:H21"/>
    <mergeCell ref="B23:H23"/>
    <mergeCell ref="B25:H25"/>
    <mergeCell ref="B11:H11"/>
    <mergeCell ref="B13:H13"/>
    <mergeCell ref="B15:H15"/>
    <mergeCell ref="B17:H17"/>
    <mergeCell ref="B3:H3"/>
    <mergeCell ref="B5:H5"/>
    <mergeCell ref="B7:H7"/>
    <mergeCell ref="B9:H9"/>
  </mergeCells>
  <printOptions/>
  <pageMargins left="1" right="1" top="1.25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0"/>
  <sheetViews>
    <sheetView workbookViewId="0" topLeftCell="B1">
      <selection activeCell="H1" sqref="H1"/>
    </sheetView>
  </sheetViews>
  <sheetFormatPr defaultColWidth="9.140625" defaultRowHeight="12.75"/>
  <cols>
    <col min="3" max="4" width="21.421875" style="0" bestFit="1" customWidth="1"/>
    <col min="7" max="7" width="3.421875" style="0" customWidth="1"/>
    <col min="8" max="8" width="9.140625" style="6" customWidth="1"/>
    <col min="9" max="9" width="9.140625" style="8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s="6" t="s">
        <v>70</v>
      </c>
      <c r="I3" s="10" t="s">
        <v>159</v>
      </c>
      <c r="J3" t="s">
        <v>122</v>
      </c>
    </row>
    <row r="5" ht="12.75">
      <c r="A5" s="4" t="s">
        <v>27</v>
      </c>
    </row>
    <row r="6" spans="3:6" ht="12.75">
      <c r="C6" t="s">
        <v>32</v>
      </c>
      <c r="D6" t="s">
        <v>33</v>
      </c>
      <c r="E6" t="s">
        <v>34</v>
      </c>
      <c r="F6">
        <v>30</v>
      </c>
    </row>
    <row r="7" spans="3:10" ht="12.75">
      <c r="C7" t="s">
        <v>33</v>
      </c>
      <c r="D7" t="s">
        <v>36</v>
      </c>
      <c r="E7" t="s">
        <v>35</v>
      </c>
      <c r="F7">
        <f>163+154</f>
        <v>317</v>
      </c>
      <c r="I7" s="8">
        <v>4</v>
      </c>
      <c r="J7" t="s">
        <v>163</v>
      </c>
    </row>
    <row r="10" spans="3:6" ht="12.75">
      <c r="C10" t="s">
        <v>36</v>
      </c>
      <c r="D10" t="s">
        <v>37</v>
      </c>
      <c r="E10" t="s">
        <v>38</v>
      </c>
      <c r="F10">
        <f>66+143</f>
        <v>209</v>
      </c>
    </row>
    <row r="11" spans="3:6" ht="12.75">
      <c r="C11" t="s">
        <v>37</v>
      </c>
      <c r="D11" t="s">
        <v>39</v>
      </c>
      <c r="E11" t="s">
        <v>40</v>
      </c>
      <c r="F11">
        <v>57</v>
      </c>
    </row>
    <row r="12" spans="3:10" ht="12.75">
      <c r="C12" t="s">
        <v>39</v>
      </c>
      <c r="D12" t="s">
        <v>41</v>
      </c>
      <c r="E12" t="s">
        <v>43</v>
      </c>
      <c r="F12">
        <v>50</v>
      </c>
      <c r="H12" s="6">
        <v>3</v>
      </c>
      <c r="I12" s="8">
        <f>SUM(F10:F12)/Summary!C32</f>
        <v>4.90906</v>
      </c>
      <c r="J12" t="s">
        <v>164</v>
      </c>
    </row>
    <row r="15" spans="3:6" ht="12.75">
      <c r="C15" t="s">
        <v>41</v>
      </c>
      <c r="D15" t="s">
        <v>39</v>
      </c>
      <c r="E15" t="s">
        <v>43</v>
      </c>
      <c r="F15">
        <v>50</v>
      </c>
    </row>
    <row r="16" spans="3:6" ht="12.75">
      <c r="C16" t="s">
        <v>39</v>
      </c>
      <c r="D16" t="s">
        <v>37</v>
      </c>
      <c r="E16" t="s">
        <v>40</v>
      </c>
      <c r="F16">
        <v>57</v>
      </c>
    </row>
    <row r="17" spans="3:6" ht="12.75">
      <c r="C17" t="s">
        <v>44</v>
      </c>
      <c r="D17" t="s">
        <v>45</v>
      </c>
      <c r="E17" t="s">
        <v>38</v>
      </c>
      <c r="F17">
        <f>119+62</f>
        <v>181</v>
      </c>
    </row>
    <row r="18" spans="3:6" ht="12.75">
      <c r="C18" t="s">
        <v>45</v>
      </c>
      <c r="D18" t="s">
        <v>46</v>
      </c>
      <c r="E18" t="s">
        <v>38</v>
      </c>
      <c r="F18">
        <v>74</v>
      </c>
    </row>
    <row r="19" spans="3:10" ht="12.75">
      <c r="C19" t="s">
        <v>46</v>
      </c>
      <c r="D19" t="s">
        <v>47</v>
      </c>
      <c r="E19" t="s">
        <v>48</v>
      </c>
      <c r="F19">
        <v>36</v>
      </c>
      <c r="H19" s="6">
        <v>4</v>
      </c>
      <c r="I19" s="8">
        <f>SUM(F15:F19)/Summary!C32</f>
        <v>6.18293</v>
      </c>
      <c r="J19" t="s">
        <v>165</v>
      </c>
    </row>
    <row r="21" spans="3:8" ht="12.75">
      <c r="C21" t="s">
        <v>47</v>
      </c>
      <c r="D21" t="s">
        <v>49</v>
      </c>
      <c r="F21">
        <f>45+30</f>
        <v>75</v>
      </c>
      <c r="H21" s="6">
        <v>3</v>
      </c>
    </row>
    <row r="23" spans="3:8" ht="12.75">
      <c r="C23" t="s">
        <v>49</v>
      </c>
      <c r="D23" t="s">
        <v>50</v>
      </c>
      <c r="F23">
        <f>8+62</f>
        <v>70</v>
      </c>
      <c r="H23" s="6">
        <v>3</v>
      </c>
    </row>
    <row r="25" spans="3:6" ht="12.75">
      <c r="C25" t="s">
        <v>50</v>
      </c>
      <c r="D25" t="s">
        <v>51</v>
      </c>
      <c r="E25" t="s">
        <v>48</v>
      </c>
      <c r="F25">
        <v>114</v>
      </c>
    </row>
    <row r="26" spans="3:6" ht="12.75">
      <c r="C26" t="s">
        <v>51</v>
      </c>
      <c r="D26" t="s">
        <v>52</v>
      </c>
      <c r="E26" t="s">
        <v>54</v>
      </c>
      <c r="F26">
        <v>131</v>
      </c>
    </row>
    <row r="27" spans="3:6" ht="12.75">
      <c r="C27" t="s">
        <v>52</v>
      </c>
      <c r="D27" t="s">
        <v>53</v>
      </c>
      <c r="E27" t="s">
        <v>54</v>
      </c>
      <c r="F27">
        <f>126+93</f>
        <v>219</v>
      </c>
    </row>
    <row r="28" spans="3:9" ht="12.75">
      <c r="C28" t="s">
        <v>53</v>
      </c>
      <c r="D28" t="s">
        <v>55</v>
      </c>
      <c r="E28" t="s">
        <v>56</v>
      </c>
      <c r="F28">
        <v>133</v>
      </c>
      <c r="H28" s="6">
        <v>3</v>
      </c>
      <c r="I28" s="8">
        <f>SUM(F25:F28)/Summary!C33</f>
        <v>12.36586</v>
      </c>
    </row>
    <row r="30" spans="3:9" ht="12.75">
      <c r="C30" t="s">
        <v>57</v>
      </c>
      <c r="D30" t="s">
        <v>53</v>
      </c>
      <c r="E30" t="s">
        <v>56</v>
      </c>
      <c r="F30">
        <v>133</v>
      </c>
      <c r="H30" s="6">
        <v>2</v>
      </c>
      <c r="I30" s="8">
        <f>F30/Summary!C33</f>
        <v>2.7548733333333333</v>
      </c>
    </row>
    <row r="32" spans="3:6" ht="12.75">
      <c r="C32" t="s">
        <v>53</v>
      </c>
      <c r="D32" t="s">
        <v>59</v>
      </c>
      <c r="E32" t="s">
        <v>58</v>
      </c>
      <c r="F32">
        <v>96</v>
      </c>
    </row>
    <row r="33" spans="3:6" ht="12.75">
      <c r="C33" t="s">
        <v>59</v>
      </c>
      <c r="E33" t="s">
        <v>60</v>
      </c>
      <c r="F33">
        <v>64</v>
      </c>
    </row>
    <row r="34" spans="5:6" ht="12.75">
      <c r="E34" t="s">
        <v>61</v>
      </c>
      <c r="F34">
        <v>82</v>
      </c>
    </row>
    <row r="35" spans="5:6" ht="12.75">
      <c r="E35" t="s">
        <v>62</v>
      </c>
      <c r="F35">
        <f>14+10</f>
        <v>24</v>
      </c>
    </row>
    <row r="36" spans="4:9" ht="12.75">
      <c r="D36" t="s">
        <v>64</v>
      </c>
      <c r="E36" t="s">
        <v>63</v>
      </c>
      <c r="F36">
        <v>21</v>
      </c>
      <c r="H36" s="6">
        <v>3</v>
      </c>
      <c r="I36" s="8">
        <f>SUM(F32:F36)/Summary!C33</f>
        <v>5.944726666666666</v>
      </c>
    </row>
    <row r="38" spans="3:6" ht="12.75">
      <c r="C38" t="s">
        <v>64</v>
      </c>
      <c r="D38" t="s">
        <v>65</v>
      </c>
      <c r="E38" t="s">
        <v>63</v>
      </c>
      <c r="F38">
        <v>21</v>
      </c>
    </row>
    <row r="39" spans="3:6" ht="12.75">
      <c r="C39" t="s">
        <v>65</v>
      </c>
      <c r="D39" t="s">
        <v>66</v>
      </c>
      <c r="E39" t="s">
        <v>62</v>
      </c>
      <c r="F39">
        <f>10+114</f>
        <v>124</v>
      </c>
    </row>
    <row r="40" spans="3:9" ht="12.75">
      <c r="C40" t="s">
        <v>66</v>
      </c>
      <c r="D40" t="s">
        <v>67</v>
      </c>
      <c r="E40" t="s">
        <v>58</v>
      </c>
      <c r="F40">
        <v>76</v>
      </c>
      <c r="H40" s="6">
        <v>2</v>
      </c>
      <c r="I40" s="8">
        <f>SUM(F38:F40)/Summary!C33</f>
        <v>4.577646666666666</v>
      </c>
    </row>
    <row r="42" spans="3:9" ht="12.75">
      <c r="C42" t="s">
        <v>67</v>
      </c>
      <c r="D42" t="s">
        <v>33</v>
      </c>
      <c r="E42" t="s">
        <v>58</v>
      </c>
      <c r="F42">
        <f>76+72</f>
        <v>148</v>
      </c>
      <c r="H42" s="6">
        <v>3</v>
      </c>
      <c r="I42" s="8">
        <f>F42/Summary!C33</f>
        <v>3.065573333333333</v>
      </c>
    </row>
    <row r="44" spans="3:6" ht="12.75">
      <c r="C44" t="s">
        <v>33</v>
      </c>
      <c r="D44" t="s">
        <v>32</v>
      </c>
      <c r="E44" t="s">
        <v>34</v>
      </c>
      <c r="F44">
        <v>30</v>
      </c>
    </row>
    <row r="45" spans="3:6" ht="12.75">
      <c r="C45" t="s">
        <v>32</v>
      </c>
      <c r="D45" t="s">
        <v>71</v>
      </c>
      <c r="E45" t="s">
        <v>74</v>
      </c>
      <c r="F45">
        <f>159+71</f>
        <v>230</v>
      </c>
    </row>
    <row r="46" spans="3:6" ht="12.75">
      <c r="C46" t="s">
        <v>71</v>
      </c>
      <c r="D46" t="s">
        <v>72</v>
      </c>
      <c r="E46" t="s">
        <v>75</v>
      </c>
      <c r="F46">
        <f>11+61+11</f>
        <v>83</v>
      </c>
    </row>
    <row r="47" spans="3:8" ht="12.75">
      <c r="C47" t="s">
        <v>77</v>
      </c>
      <c r="D47" t="s">
        <v>76</v>
      </c>
      <c r="H47" s="6">
        <v>2</v>
      </c>
    </row>
    <row r="48" spans="3:9" ht="12.75">
      <c r="C48" t="s">
        <v>72</v>
      </c>
      <c r="D48" t="s">
        <v>73</v>
      </c>
      <c r="E48" t="s">
        <v>42</v>
      </c>
      <c r="F48">
        <v>70</v>
      </c>
      <c r="G48" t="s">
        <v>42</v>
      </c>
      <c r="H48" s="6">
        <v>4</v>
      </c>
      <c r="I48" s="8">
        <f>SUM(F44:F48)/Summary!C33</f>
        <v>8.554606666666666</v>
      </c>
    </row>
    <row r="50" spans="3:7" ht="12.75">
      <c r="C50" t="s">
        <v>73</v>
      </c>
      <c r="D50" t="s">
        <v>72</v>
      </c>
      <c r="E50" t="s">
        <v>42</v>
      </c>
      <c r="F50">
        <v>70</v>
      </c>
      <c r="G50" t="s">
        <v>42</v>
      </c>
    </row>
    <row r="51" spans="3:9" ht="12.75">
      <c r="C51" t="s">
        <v>72</v>
      </c>
      <c r="D51" t="s">
        <v>78</v>
      </c>
      <c r="E51" t="s">
        <v>79</v>
      </c>
      <c r="F51">
        <f>42+67</f>
        <v>109</v>
      </c>
      <c r="H51" s="6">
        <v>3</v>
      </c>
      <c r="I51" s="8">
        <f>SUM(F50:F51)/Summary!C33</f>
        <v>3.7076866666666666</v>
      </c>
    </row>
    <row r="53" spans="3:6" ht="12.75">
      <c r="C53" t="s">
        <v>78</v>
      </c>
      <c r="D53" t="s">
        <v>80</v>
      </c>
      <c r="E53" t="s">
        <v>79</v>
      </c>
      <c r="F53">
        <f>41+24+75</f>
        <v>140</v>
      </c>
    </row>
    <row r="54" spans="3:6" ht="12.75">
      <c r="C54" t="s">
        <v>80</v>
      </c>
      <c r="D54" t="s">
        <v>81</v>
      </c>
      <c r="E54" t="s">
        <v>83</v>
      </c>
      <c r="F54">
        <v>105</v>
      </c>
    </row>
    <row r="55" spans="3:9" ht="12.75">
      <c r="C55" t="s">
        <v>81</v>
      </c>
      <c r="D55" t="s">
        <v>82</v>
      </c>
      <c r="E55" t="s">
        <v>84</v>
      </c>
      <c r="F55">
        <v>125</v>
      </c>
      <c r="H55" s="6">
        <v>4</v>
      </c>
      <c r="I55" s="8">
        <f>SUM(F53:F55)/Summary!C33</f>
        <v>7.663933333333333</v>
      </c>
    </row>
    <row r="57" spans="3:6" ht="12.75">
      <c r="C57" t="s">
        <v>82</v>
      </c>
      <c r="D57" t="s">
        <v>81</v>
      </c>
      <c r="E57" t="s">
        <v>84</v>
      </c>
      <c r="F57">
        <v>125</v>
      </c>
    </row>
    <row r="58" spans="3:6" ht="12.75">
      <c r="C58" t="s">
        <v>81</v>
      </c>
      <c r="D58" t="s">
        <v>85</v>
      </c>
      <c r="E58" t="s">
        <v>83</v>
      </c>
      <c r="F58">
        <f>165+154</f>
        <v>319</v>
      </c>
    </row>
    <row r="59" spans="3:6" ht="12.75">
      <c r="C59" t="s">
        <v>85</v>
      </c>
      <c r="E59" t="s">
        <v>38</v>
      </c>
      <c r="F59">
        <v>37</v>
      </c>
    </row>
    <row r="60" spans="5:6" ht="12.75">
      <c r="E60" t="s">
        <v>86</v>
      </c>
      <c r="F60">
        <v>71</v>
      </c>
    </row>
    <row r="61" spans="4:9" ht="12.75">
      <c r="D61" t="s">
        <v>88</v>
      </c>
      <c r="E61" t="s">
        <v>87</v>
      </c>
      <c r="F61">
        <v>10</v>
      </c>
      <c r="H61" s="6">
        <v>3</v>
      </c>
      <c r="I61" s="8">
        <f>SUM(F57:F61)/Summary!C33</f>
        <v>11.640893333333333</v>
      </c>
    </row>
    <row r="63" spans="3:9" ht="12.75">
      <c r="C63" t="s">
        <v>88</v>
      </c>
      <c r="D63" t="s">
        <v>89</v>
      </c>
      <c r="E63" t="s">
        <v>90</v>
      </c>
      <c r="F63">
        <f>10+40+33</f>
        <v>83</v>
      </c>
      <c r="H63" s="6">
        <v>2</v>
      </c>
      <c r="I63" s="8">
        <f>F63/Summary!C33</f>
        <v>1.7192066666666665</v>
      </c>
    </row>
    <row r="65" spans="3:6" ht="12.75">
      <c r="C65" t="s">
        <v>89</v>
      </c>
      <c r="D65" t="s">
        <v>91</v>
      </c>
      <c r="E65" t="s">
        <v>90</v>
      </c>
      <c r="F65">
        <f>33+40</f>
        <v>73</v>
      </c>
    </row>
    <row r="66" spans="3:6" ht="12.75">
      <c r="C66" t="s">
        <v>91</v>
      </c>
      <c r="D66" t="s">
        <v>92</v>
      </c>
      <c r="E66" t="s">
        <v>87</v>
      </c>
      <c r="F66">
        <f>23+28+64</f>
        <v>115</v>
      </c>
    </row>
    <row r="67" spans="3:9" ht="12.75">
      <c r="C67" t="s">
        <v>92</v>
      </c>
      <c r="D67" t="s">
        <v>124</v>
      </c>
      <c r="E67" t="s">
        <v>93</v>
      </c>
      <c r="F67">
        <v>126</v>
      </c>
      <c r="H67" s="6">
        <v>1</v>
      </c>
      <c r="I67" s="8">
        <f>SUM(F65:F67)/Summary!C32</f>
        <v>4.87799</v>
      </c>
    </row>
    <row r="70" spans="6:9" ht="12.75">
      <c r="F70" s="5">
        <f>SUM(F6:F69)</f>
        <v>4513</v>
      </c>
      <c r="H70" s="9">
        <f>SUM(H6:H69)</f>
        <v>45</v>
      </c>
      <c r="I70" s="11"/>
    </row>
  </sheetData>
  <printOptions/>
  <pageMargins left="1" right="1" top="1.25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4"/>
  <sheetViews>
    <sheetView workbookViewId="0" topLeftCell="A1">
      <selection activeCell="F6" sqref="F6:F8"/>
    </sheetView>
  </sheetViews>
  <sheetFormatPr defaultColWidth="9.140625" defaultRowHeight="12.75"/>
  <cols>
    <col min="3" max="3" width="23.8515625" style="0" bestFit="1" customWidth="1"/>
    <col min="4" max="4" width="25.140625" style="0" bestFit="1" customWidth="1"/>
    <col min="7" max="7" width="2.8515625" style="0" customWidth="1"/>
    <col min="9" max="9" width="9.140625" style="8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0" t="s">
        <v>159</v>
      </c>
      <c r="J3" t="s">
        <v>122</v>
      </c>
    </row>
    <row r="5" ht="12.75">
      <c r="A5" s="4" t="s">
        <v>94</v>
      </c>
    </row>
    <row r="6" spans="3:6" ht="12.75">
      <c r="C6" t="s">
        <v>124</v>
      </c>
      <c r="D6" t="s">
        <v>95</v>
      </c>
      <c r="E6" t="s">
        <v>96</v>
      </c>
      <c r="F6">
        <v>132</v>
      </c>
    </row>
    <row r="7" spans="3:6" ht="12.75">
      <c r="C7" t="s">
        <v>95</v>
      </c>
      <c r="D7" t="s">
        <v>97</v>
      </c>
      <c r="E7" t="s">
        <v>98</v>
      </c>
      <c r="F7">
        <f>39+40</f>
        <v>79</v>
      </c>
    </row>
    <row r="8" spans="3:9" ht="12.75">
      <c r="C8" t="s">
        <v>97</v>
      </c>
      <c r="D8" t="s">
        <v>99</v>
      </c>
      <c r="E8" t="s">
        <v>42</v>
      </c>
      <c r="F8">
        <v>40</v>
      </c>
      <c r="G8" t="s">
        <v>42</v>
      </c>
      <c r="H8">
        <v>2</v>
      </c>
      <c r="I8" s="8">
        <f>SUM(F6:F8)/Summary!C32</f>
        <v>3.899285</v>
      </c>
    </row>
    <row r="10" spans="3:7" ht="12.75">
      <c r="C10" t="s">
        <v>99</v>
      </c>
      <c r="D10" t="s">
        <v>97</v>
      </c>
      <c r="E10" t="s">
        <v>42</v>
      </c>
      <c r="F10">
        <v>40</v>
      </c>
      <c r="G10" t="s">
        <v>42</v>
      </c>
    </row>
    <row r="11" spans="3:7" ht="12.75">
      <c r="C11" t="s">
        <v>97</v>
      </c>
      <c r="D11" t="s">
        <v>100</v>
      </c>
      <c r="E11" t="s">
        <v>101</v>
      </c>
      <c r="F11">
        <v>90</v>
      </c>
      <c r="G11" t="s">
        <v>42</v>
      </c>
    </row>
    <row r="12" spans="3:6" ht="12.75">
      <c r="C12" t="s">
        <v>100</v>
      </c>
      <c r="D12" t="s">
        <v>103</v>
      </c>
      <c r="E12" t="s">
        <v>102</v>
      </c>
      <c r="F12">
        <v>145</v>
      </c>
    </row>
    <row r="13" spans="3:10" ht="12.75">
      <c r="C13" t="s">
        <v>103</v>
      </c>
      <c r="D13" t="s">
        <v>104</v>
      </c>
      <c r="E13" t="s">
        <v>105</v>
      </c>
      <c r="F13">
        <v>120</v>
      </c>
      <c r="J13" t="s">
        <v>106</v>
      </c>
    </row>
    <row r="14" spans="3:6" ht="12.75">
      <c r="C14" t="s">
        <v>104</v>
      </c>
      <c r="D14" t="s">
        <v>107</v>
      </c>
      <c r="E14" t="s">
        <v>105</v>
      </c>
      <c r="F14">
        <v>71</v>
      </c>
    </row>
    <row r="15" spans="3:6" ht="12.75">
      <c r="C15" t="s">
        <v>107</v>
      </c>
      <c r="D15" t="s">
        <v>108</v>
      </c>
      <c r="E15" t="s">
        <v>102</v>
      </c>
      <c r="F15">
        <v>52</v>
      </c>
    </row>
    <row r="16" spans="3:9" ht="12.75">
      <c r="C16" t="s">
        <v>108</v>
      </c>
      <c r="D16" t="s">
        <v>109</v>
      </c>
      <c r="E16" t="s">
        <v>110</v>
      </c>
      <c r="F16">
        <f>23+58</f>
        <v>81</v>
      </c>
      <c r="H16">
        <v>2</v>
      </c>
      <c r="I16" s="8">
        <f>SUM(F10:F16)/Summary!C32</f>
        <v>9.305465</v>
      </c>
    </row>
    <row r="18" spans="3:8" ht="12.75">
      <c r="C18" t="s">
        <v>109</v>
      </c>
      <c r="D18" t="s">
        <v>111</v>
      </c>
      <c r="F18">
        <v>50</v>
      </c>
      <c r="G18" t="s">
        <v>42</v>
      </c>
      <c r="H18">
        <v>3</v>
      </c>
    </row>
    <row r="20" spans="3:8" ht="12.75">
      <c r="C20" t="s">
        <v>111</v>
      </c>
      <c r="D20" t="s">
        <v>112</v>
      </c>
      <c r="E20" t="s">
        <v>110</v>
      </c>
      <c r="F20">
        <v>54</v>
      </c>
      <c r="H20">
        <v>2</v>
      </c>
    </row>
    <row r="22" spans="3:6" ht="12.75">
      <c r="C22" t="s">
        <v>112</v>
      </c>
      <c r="D22" t="s">
        <v>113</v>
      </c>
      <c r="E22" t="s">
        <v>110</v>
      </c>
      <c r="F22">
        <v>22</v>
      </c>
    </row>
    <row r="23" spans="3:6" ht="12.75">
      <c r="C23" t="s">
        <v>113</v>
      </c>
      <c r="D23" t="s">
        <v>114</v>
      </c>
      <c r="E23" t="s">
        <v>115</v>
      </c>
      <c r="F23">
        <f>25+40</f>
        <v>65</v>
      </c>
    </row>
    <row r="24" spans="3:9" ht="12.75">
      <c r="C24" t="s">
        <v>114</v>
      </c>
      <c r="D24" t="s">
        <v>116</v>
      </c>
      <c r="E24" t="s">
        <v>102</v>
      </c>
      <c r="F24">
        <f>24+24</f>
        <v>48</v>
      </c>
      <c r="G24" t="s">
        <v>42</v>
      </c>
      <c r="H24">
        <v>1</v>
      </c>
      <c r="I24" s="8">
        <f>SUM(F22:F24)/Summary!C33</f>
        <v>2.7963</v>
      </c>
    </row>
    <row r="26" spans="3:6" ht="12.75">
      <c r="C26" t="s">
        <v>116</v>
      </c>
      <c r="D26" t="s">
        <v>125</v>
      </c>
      <c r="E26" t="s">
        <v>126</v>
      </c>
      <c r="F26">
        <f>51-24+17</f>
        <v>44</v>
      </c>
    </row>
    <row r="27" spans="3:6" ht="12.75">
      <c r="C27" t="s">
        <v>125</v>
      </c>
      <c r="D27" t="s">
        <v>127</v>
      </c>
      <c r="E27" t="s">
        <v>128</v>
      </c>
      <c r="F27">
        <f>35+4</f>
        <v>39</v>
      </c>
    </row>
    <row r="28" spans="3:6" ht="12.75">
      <c r="C28" t="s">
        <v>127</v>
      </c>
      <c r="D28" t="s">
        <v>129</v>
      </c>
      <c r="E28" t="s">
        <v>130</v>
      </c>
      <c r="F28">
        <v>39</v>
      </c>
    </row>
    <row r="29" spans="3:6" ht="12.75">
      <c r="C29" t="s">
        <v>129</v>
      </c>
      <c r="D29" t="s">
        <v>131</v>
      </c>
      <c r="E29" t="s">
        <v>130</v>
      </c>
      <c r="F29">
        <v>20</v>
      </c>
    </row>
    <row r="30" spans="3:9" ht="12.75">
      <c r="C30" t="s">
        <v>131</v>
      </c>
      <c r="D30" t="s">
        <v>132</v>
      </c>
      <c r="E30" t="s">
        <v>133</v>
      </c>
      <c r="F30">
        <v>15</v>
      </c>
      <c r="G30" t="s">
        <v>42</v>
      </c>
      <c r="H30">
        <v>3</v>
      </c>
      <c r="I30" s="8">
        <f>SUM(F26:F30)/Summary!C32</f>
        <v>2.438995</v>
      </c>
    </row>
    <row r="32" spans="3:6" ht="12.75">
      <c r="C32" t="s">
        <v>132</v>
      </c>
      <c r="D32" t="s">
        <v>134</v>
      </c>
      <c r="E32" t="s">
        <v>42</v>
      </c>
      <c r="F32">
        <v>19</v>
      </c>
    </row>
    <row r="33" spans="3:6" ht="12.75">
      <c r="C33" t="s">
        <v>134</v>
      </c>
      <c r="D33" t="s">
        <v>135</v>
      </c>
      <c r="E33" t="s">
        <v>136</v>
      </c>
      <c r="F33">
        <f>23+22</f>
        <v>45</v>
      </c>
    </row>
    <row r="34" spans="3:9" ht="12.75">
      <c r="C34" t="s">
        <v>135</v>
      </c>
      <c r="D34" t="s">
        <v>137</v>
      </c>
      <c r="E34" t="s">
        <v>42</v>
      </c>
      <c r="F34">
        <f>6+22</f>
        <v>28</v>
      </c>
      <c r="H34">
        <v>2</v>
      </c>
      <c r="I34" s="8">
        <f>SUM(F32:F34)/Summary!C32</f>
        <v>1.42922</v>
      </c>
    </row>
    <row r="36" spans="3:6" ht="12.75">
      <c r="C36" t="s">
        <v>137</v>
      </c>
      <c r="D36" t="s">
        <v>138</v>
      </c>
      <c r="E36" t="s">
        <v>139</v>
      </c>
      <c r="F36">
        <v>36</v>
      </c>
    </row>
    <row r="37" spans="3:6" ht="12.75">
      <c r="C37" t="s">
        <v>138</v>
      </c>
      <c r="D37" t="s">
        <v>140</v>
      </c>
      <c r="E37" t="s">
        <v>136</v>
      </c>
      <c r="F37">
        <f>2+3+15</f>
        <v>20</v>
      </c>
    </row>
    <row r="38" spans="3:6" ht="12.75">
      <c r="C38" t="s">
        <v>140</v>
      </c>
      <c r="D38" t="s">
        <v>141</v>
      </c>
      <c r="E38" t="s">
        <v>143</v>
      </c>
      <c r="F38">
        <v>30</v>
      </c>
    </row>
    <row r="39" spans="3:10" ht="12.75">
      <c r="C39" t="s">
        <v>141</v>
      </c>
      <c r="D39" t="s">
        <v>142</v>
      </c>
      <c r="E39" t="s">
        <v>144</v>
      </c>
      <c r="F39">
        <v>52</v>
      </c>
      <c r="H39">
        <v>1</v>
      </c>
      <c r="I39" s="8">
        <f>SUM(F36:F39)/Summary!C32</f>
        <v>2.14383</v>
      </c>
      <c r="J39" t="s">
        <v>145</v>
      </c>
    </row>
    <row r="41" spans="3:6" ht="12.75">
      <c r="C41" t="s">
        <v>142</v>
      </c>
      <c r="D41" t="s">
        <v>146</v>
      </c>
      <c r="E41" t="s">
        <v>147</v>
      </c>
      <c r="F41">
        <f>55+15+91+84+40+75</f>
        <v>360</v>
      </c>
    </row>
    <row r="42" spans="3:9" ht="12.75">
      <c r="C42" t="s">
        <v>146</v>
      </c>
      <c r="D42" t="s">
        <v>148</v>
      </c>
      <c r="E42" t="s">
        <v>147</v>
      </c>
      <c r="F42">
        <f>75+42+62+61+75+35+37+67+70</f>
        <v>524</v>
      </c>
      <c r="H42">
        <v>2</v>
      </c>
      <c r="I42" s="8">
        <f>SUM(F41:F42)/Summary!C34</f>
        <v>9.155293333333333</v>
      </c>
    </row>
    <row r="44" spans="3:9" ht="12.75">
      <c r="C44" t="s">
        <v>148</v>
      </c>
      <c r="D44" t="s">
        <v>149</v>
      </c>
      <c r="E44" t="s">
        <v>150</v>
      </c>
      <c r="F44">
        <v>175</v>
      </c>
      <c r="H44">
        <v>2</v>
      </c>
      <c r="I44" s="8">
        <f>F44/Summary!C34</f>
        <v>1.8124166666666666</v>
      </c>
    </row>
    <row r="46" spans="3:6" ht="12.75">
      <c r="C46" t="s">
        <v>149</v>
      </c>
      <c r="D46" t="s">
        <v>151</v>
      </c>
      <c r="E46" t="s">
        <v>152</v>
      </c>
      <c r="F46">
        <f>73+78+48</f>
        <v>199</v>
      </c>
    </row>
    <row r="47" spans="3:6" ht="12.75">
      <c r="C47" t="s">
        <v>151</v>
      </c>
      <c r="D47" t="s">
        <v>153</v>
      </c>
      <c r="E47" t="s">
        <v>154</v>
      </c>
      <c r="F47">
        <v>157</v>
      </c>
    </row>
    <row r="48" spans="3:9" ht="12.75">
      <c r="C48" t="s">
        <v>153</v>
      </c>
      <c r="D48" t="s">
        <v>155</v>
      </c>
      <c r="E48" t="s">
        <v>156</v>
      </c>
      <c r="F48">
        <v>26</v>
      </c>
      <c r="I48" s="8">
        <f>SUM(F46:F48)/Summary!C34</f>
        <v>3.9562466666666665</v>
      </c>
    </row>
    <row r="54" spans="6:9" ht="12.75">
      <c r="F54" s="5">
        <f>SUM(F6:F53)</f>
        <v>2917</v>
      </c>
      <c r="H54" s="5">
        <f>SUM(H6:H53)</f>
        <v>20</v>
      </c>
      <c r="I54" s="11"/>
    </row>
  </sheetData>
  <printOptions/>
  <pageMargins left="1" right="1" top="1.25" bottom="1" header="0.5" footer="0.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4"/>
  <sheetViews>
    <sheetView workbookViewId="0" topLeftCell="A47">
      <selection activeCell="C76" sqref="C76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140625" style="8" customWidth="1"/>
  </cols>
  <sheetData>
    <row r="3" spans="3:10" ht="39.7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0" t="s">
        <v>159</v>
      </c>
      <c r="J3" t="s">
        <v>122</v>
      </c>
    </row>
    <row r="5" ht="12.75">
      <c r="A5" s="4" t="s">
        <v>117</v>
      </c>
    </row>
    <row r="6" spans="3:6" ht="12.75">
      <c r="C6" t="s">
        <v>155</v>
      </c>
      <c r="D6" t="s">
        <v>168</v>
      </c>
      <c r="F6">
        <f>50+72</f>
        <v>122</v>
      </c>
    </row>
    <row r="7" spans="3:9" ht="12.75">
      <c r="C7" t="s">
        <v>168</v>
      </c>
      <c r="D7" t="s">
        <v>169</v>
      </c>
      <c r="F7">
        <f>86+198+72+88</f>
        <v>444</v>
      </c>
      <c r="H7">
        <v>2</v>
      </c>
      <c r="I7" s="8">
        <f>SUM(F6:F7)/Summary!C34</f>
        <v>5.8618733333333335</v>
      </c>
    </row>
    <row r="9" spans="3:6" ht="12.75">
      <c r="C9" t="s">
        <v>169</v>
      </c>
      <c r="D9" t="s">
        <v>170</v>
      </c>
      <c r="F9">
        <v>225</v>
      </c>
    </row>
    <row r="10" spans="3:9" ht="12.75">
      <c r="C10" t="s">
        <v>170</v>
      </c>
      <c r="D10" t="s">
        <v>171</v>
      </c>
      <c r="F10">
        <f>138+168</f>
        <v>306</v>
      </c>
      <c r="H10">
        <v>4</v>
      </c>
      <c r="I10" s="8">
        <f>SUM(F9:F10)/Summary!C33</f>
        <v>10.99878</v>
      </c>
    </row>
    <row r="12" spans="3:8" ht="12.75">
      <c r="C12" t="s">
        <v>171</v>
      </c>
      <c r="D12" t="s">
        <v>172</v>
      </c>
      <c r="F12">
        <v>56</v>
      </c>
      <c r="H12">
        <v>1</v>
      </c>
    </row>
    <row r="14" spans="3:8" ht="12.75">
      <c r="C14" t="s">
        <v>172</v>
      </c>
      <c r="D14" t="s">
        <v>173</v>
      </c>
      <c r="H14">
        <v>4</v>
      </c>
    </row>
    <row r="16" spans="3:8" ht="12.75">
      <c r="C16" t="s">
        <v>173</v>
      </c>
      <c r="D16" t="s">
        <v>174</v>
      </c>
      <c r="H16">
        <v>4</v>
      </c>
    </row>
    <row r="18" spans="3:8" ht="12.75">
      <c r="C18" t="s">
        <v>174</v>
      </c>
      <c r="D18" t="s">
        <v>175</v>
      </c>
      <c r="H18">
        <v>4</v>
      </c>
    </row>
    <row r="20" spans="3:8" ht="12.75">
      <c r="C20" t="s">
        <v>175</v>
      </c>
      <c r="D20" t="s">
        <v>176</v>
      </c>
      <c r="F20">
        <v>500</v>
      </c>
      <c r="H20">
        <v>1</v>
      </c>
    </row>
    <row r="22" spans="6:8" ht="12.75">
      <c r="F22" s="5">
        <f>SUM(F6:F20)</f>
        <v>1653</v>
      </c>
      <c r="H22" s="5">
        <f>SUM(H6:H20)</f>
        <v>20</v>
      </c>
    </row>
    <row r="27" ht="12.75">
      <c r="A27" s="4" t="s">
        <v>177</v>
      </c>
    </row>
    <row r="28" spans="3:6" ht="12.75">
      <c r="C28" t="s">
        <v>176</v>
      </c>
      <c r="D28" t="s">
        <v>178</v>
      </c>
      <c r="E28" t="s">
        <v>179</v>
      </c>
      <c r="F28">
        <v>68</v>
      </c>
    </row>
    <row r="29" spans="3:9" ht="12.75">
      <c r="C29" t="s">
        <v>178</v>
      </c>
      <c r="D29" t="s">
        <v>180</v>
      </c>
      <c r="E29" t="s">
        <v>179</v>
      </c>
      <c r="F29">
        <v>111</v>
      </c>
      <c r="H29">
        <v>1</v>
      </c>
      <c r="I29" s="8">
        <f>SUM(F28:F29)/Summary!C33</f>
        <v>3.7076866666666666</v>
      </c>
    </row>
    <row r="31" spans="3:10" ht="12.75">
      <c r="C31" t="s">
        <v>180</v>
      </c>
      <c r="D31" t="s">
        <v>189</v>
      </c>
      <c r="E31" t="s">
        <v>181</v>
      </c>
      <c r="F31">
        <f>116+71</f>
        <v>187</v>
      </c>
      <c r="H31">
        <v>3</v>
      </c>
      <c r="I31" s="8">
        <f>F31/Summary!C33</f>
        <v>3.873393333333333</v>
      </c>
      <c r="J31" t="s">
        <v>182</v>
      </c>
    </row>
    <row r="34" spans="6:8" ht="12.75">
      <c r="F34" s="5">
        <f>SUM(F28:F33)</f>
        <v>366</v>
      </c>
      <c r="H34" s="5">
        <f>SUM(H28:H33)</f>
        <v>4</v>
      </c>
    </row>
  </sheetData>
  <printOptions/>
  <pageMargins left="1" right="1" top="1.25" bottom="1" header="0.5" footer="0.5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workbookViewId="0" topLeftCell="A1">
      <selection activeCell="L12" sqref="L12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140625" style="13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119</v>
      </c>
    </row>
    <row r="6" spans="3:6" ht="12.75">
      <c r="C6" t="s">
        <v>189</v>
      </c>
      <c r="D6" t="s">
        <v>190</v>
      </c>
      <c r="F6">
        <v>3</v>
      </c>
    </row>
    <row r="7" spans="3:9" ht="12.75">
      <c r="C7" t="s">
        <v>190</v>
      </c>
      <c r="D7" t="s">
        <v>191</v>
      </c>
      <c r="F7">
        <f>38+87+59</f>
        <v>184</v>
      </c>
      <c r="H7">
        <v>3</v>
      </c>
      <c r="I7" s="13">
        <f>SUM(F6:F7)/Summary!C34</f>
        <v>1.9366966666666665</v>
      </c>
    </row>
    <row r="9" spans="3:9" ht="12.75">
      <c r="C9" t="s">
        <v>191</v>
      </c>
      <c r="D9" t="s">
        <v>192</v>
      </c>
      <c r="F9">
        <f>38+87+59+192</f>
        <v>376</v>
      </c>
      <c r="H9">
        <v>2</v>
      </c>
      <c r="I9" s="13">
        <f>F9/Summary!C32</f>
        <v>5.8411599999999995</v>
      </c>
    </row>
    <row r="11" spans="3:6" ht="12.75">
      <c r="C11" t="s">
        <v>192</v>
      </c>
      <c r="D11" t="s">
        <v>193</v>
      </c>
      <c r="F11">
        <v>143</v>
      </c>
    </row>
    <row r="12" spans="3:6" ht="12.75">
      <c r="C12" t="s">
        <v>193</v>
      </c>
      <c r="D12" t="s">
        <v>194</v>
      </c>
      <c r="E12" t="s">
        <v>195</v>
      </c>
      <c r="F12">
        <f>193+141</f>
        <v>334</v>
      </c>
    </row>
    <row r="13" spans="3:9" ht="12.75">
      <c r="C13" t="s">
        <v>194</v>
      </c>
      <c r="D13" t="s">
        <v>196</v>
      </c>
      <c r="F13">
        <v>80</v>
      </c>
      <c r="G13" t="s">
        <v>42</v>
      </c>
      <c r="H13">
        <v>5</v>
      </c>
      <c r="I13" s="13">
        <f>SUM(F11:F13)/Summary!C33</f>
        <v>11.537326666666667</v>
      </c>
    </row>
    <row r="15" spans="3:7" ht="12.75">
      <c r="C15" t="s">
        <v>196</v>
      </c>
      <c r="D15" t="s">
        <v>194</v>
      </c>
      <c r="F15">
        <v>80</v>
      </c>
      <c r="G15" t="s">
        <v>42</v>
      </c>
    </row>
    <row r="16" spans="3:6" ht="12.75">
      <c r="C16" t="s">
        <v>194</v>
      </c>
      <c r="D16" t="s">
        <v>197</v>
      </c>
      <c r="F16">
        <f>60+63+153</f>
        <v>276</v>
      </c>
    </row>
    <row r="17" spans="3:9" ht="12.75">
      <c r="C17" t="s">
        <v>197</v>
      </c>
      <c r="D17" t="s">
        <v>198</v>
      </c>
      <c r="F17">
        <f>55+62+65</f>
        <v>182</v>
      </c>
      <c r="H17">
        <v>4</v>
      </c>
      <c r="I17" s="13">
        <f>SUM(F15:F17)/Summary!C33</f>
        <v>11.143773333333334</v>
      </c>
    </row>
    <row r="19" spans="3:6" ht="12.75">
      <c r="C19" t="s">
        <v>198</v>
      </c>
      <c r="D19" t="s">
        <v>199</v>
      </c>
      <c r="F19">
        <f>65+18</f>
        <v>83</v>
      </c>
    </row>
    <row r="20" spans="3:9" ht="12.75">
      <c r="C20" t="s">
        <v>199</v>
      </c>
      <c r="D20" t="s">
        <v>200</v>
      </c>
      <c r="F20">
        <v>16</v>
      </c>
      <c r="H20">
        <v>4</v>
      </c>
      <c r="I20" s="13">
        <f>SUM(F19:F20)/Summary!C33</f>
        <v>2.05062</v>
      </c>
    </row>
    <row r="22" spans="3:9" ht="12.75">
      <c r="C22" t="s">
        <v>200</v>
      </c>
      <c r="D22" t="s">
        <v>201</v>
      </c>
      <c r="F22">
        <v>160</v>
      </c>
      <c r="G22" t="s">
        <v>42</v>
      </c>
      <c r="I22" s="13">
        <f>F22/Summary!C33</f>
        <v>3.3141333333333334</v>
      </c>
    </row>
    <row r="23" spans="3:9" ht="12.75">
      <c r="C23" t="s">
        <v>201</v>
      </c>
      <c r="D23" t="s">
        <v>202</v>
      </c>
      <c r="F23">
        <f>162+76+120+76+48+38+88</f>
        <v>608</v>
      </c>
      <c r="H23">
        <v>3</v>
      </c>
      <c r="I23" s="13">
        <f>F23/Summary!C34</f>
        <v>6.296853333333333</v>
      </c>
    </row>
    <row r="25" spans="3:9" ht="12.75">
      <c r="C25" t="s">
        <v>202</v>
      </c>
      <c r="D25" t="s">
        <v>203</v>
      </c>
      <c r="F25">
        <f>130+50</f>
        <v>180</v>
      </c>
      <c r="H25">
        <v>5</v>
      </c>
      <c r="I25" s="13">
        <f>F25/Summary!C33</f>
        <v>3.7283999999999997</v>
      </c>
    </row>
    <row r="27" spans="3:9" ht="12.75">
      <c r="C27" t="s">
        <v>203</v>
      </c>
      <c r="D27" t="s">
        <v>202</v>
      </c>
      <c r="F27">
        <f>F25</f>
        <v>180</v>
      </c>
      <c r="H27">
        <v>1</v>
      </c>
      <c r="I27" s="13">
        <f>F27/Summary!C33</f>
        <v>3.7283999999999997</v>
      </c>
    </row>
    <row r="30" spans="6:8" ht="12.75">
      <c r="F30" s="5">
        <f>SUM(F6:F29)</f>
        <v>2885</v>
      </c>
      <c r="H30" s="5">
        <f>SUM(H6:H29)</f>
        <v>27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8"/>
  <sheetViews>
    <sheetView workbookViewId="0" topLeftCell="A64">
      <selection activeCell="D80" sqref="D80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8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0" t="s">
        <v>159</v>
      </c>
      <c r="J3" t="s">
        <v>122</v>
      </c>
    </row>
    <row r="5" ht="12.75">
      <c r="A5" s="4" t="s">
        <v>204</v>
      </c>
    </row>
    <row r="6" spans="3:8" ht="12.75">
      <c r="C6" t="s">
        <v>202</v>
      </c>
      <c r="D6" t="s">
        <v>205</v>
      </c>
      <c r="E6">
        <v>12</v>
      </c>
      <c r="F6">
        <v>90</v>
      </c>
      <c r="H6">
        <v>1</v>
      </c>
    </row>
    <row r="8" spans="3:6" ht="12.75">
      <c r="C8" t="s">
        <v>205</v>
      </c>
      <c r="D8" t="s">
        <v>206</v>
      </c>
      <c r="E8">
        <v>1</v>
      </c>
      <c r="F8">
        <v>85</v>
      </c>
    </row>
    <row r="9" spans="3:6" ht="12.75">
      <c r="C9" t="s">
        <v>206</v>
      </c>
      <c r="D9" t="s">
        <v>207</v>
      </c>
      <c r="E9">
        <v>1</v>
      </c>
      <c r="F9">
        <v>55</v>
      </c>
    </row>
    <row r="10" spans="3:9" ht="12.75">
      <c r="C10" t="s">
        <v>207</v>
      </c>
      <c r="D10" t="s">
        <v>208</v>
      </c>
      <c r="E10">
        <v>8</v>
      </c>
      <c r="F10">
        <v>83</v>
      </c>
      <c r="H10">
        <v>3</v>
      </c>
      <c r="I10" s="8">
        <f>SUM(F8:F10)/Summary!C32</f>
        <v>3.464305</v>
      </c>
    </row>
    <row r="12" spans="3:6" ht="12.75">
      <c r="C12" t="s">
        <v>208</v>
      </c>
      <c r="D12" t="s">
        <v>209</v>
      </c>
      <c r="E12">
        <v>3</v>
      </c>
      <c r="F12">
        <v>135</v>
      </c>
    </row>
    <row r="13" spans="3:6" ht="12.75">
      <c r="C13" t="s">
        <v>209</v>
      </c>
      <c r="D13" t="s">
        <v>210</v>
      </c>
      <c r="E13">
        <v>10</v>
      </c>
      <c r="F13">
        <v>68</v>
      </c>
    </row>
    <row r="14" spans="3:6" ht="12.75">
      <c r="C14" t="s">
        <v>210</v>
      </c>
      <c r="D14" t="s">
        <v>211</v>
      </c>
      <c r="E14">
        <v>10</v>
      </c>
      <c r="F14">
        <v>113</v>
      </c>
    </row>
    <row r="15" spans="3:6" ht="12.75">
      <c r="C15" t="s">
        <v>211</v>
      </c>
      <c r="D15" t="s">
        <v>212</v>
      </c>
      <c r="E15">
        <v>5</v>
      </c>
      <c r="F15">
        <v>140</v>
      </c>
    </row>
    <row r="16" spans="3:6" ht="12.75">
      <c r="C16" t="s">
        <v>212</v>
      </c>
      <c r="D16" t="s">
        <v>213</v>
      </c>
      <c r="E16">
        <v>5</v>
      </c>
      <c r="F16">
        <v>139</v>
      </c>
    </row>
    <row r="17" spans="3:6" ht="12.75">
      <c r="C17" t="s">
        <v>213</v>
      </c>
      <c r="D17" t="s">
        <v>214</v>
      </c>
      <c r="E17">
        <v>5</v>
      </c>
      <c r="F17">
        <v>195</v>
      </c>
    </row>
    <row r="18" spans="3:6" ht="12.75">
      <c r="C18" t="s">
        <v>214</v>
      </c>
      <c r="D18" t="s">
        <v>215</v>
      </c>
      <c r="E18">
        <v>5</v>
      </c>
      <c r="F18">
        <v>48</v>
      </c>
    </row>
    <row r="19" spans="3:6" ht="12.75">
      <c r="C19" t="s">
        <v>215</v>
      </c>
      <c r="D19" t="s">
        <v>216</v>
      </c>
      <c r="E19">
        <v>1</v>
      </c>
      <c r="F19">
        <v>243</v>
      </c>
    </row>
    <row r="20" spans="3:9" ht="12.75">
      <c r="C20" t="s">
        <v>216</v>
      </c>
      <c r="D20" t="s">
        <v>217</v>
      </c>
      <c r="E20">
        <v>1</v>
      </c>
      <c r="F20">
        <v>40</v>
      </c>
      <c r="H20">
        <f>3+3+3+1</f>
        <v>10</v>
      </c>
      <c r="I20" s="8">
        <f>SUM(F12:F20)/Summary!C32</f>
        <v>17.414735</v>
      </c>
    </row>
    <row r="28" spans="6:8" ht="12.75">
      <c r="F28" s="5">
        <f>SUM(F6:F27)</f>
        <v>1434</v>
      </c>
      <c r="H28" s="5">
        <f>SUM(H6:H27)</f>
        <v>14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1"/>
  <sheetViews>
    <sheetView workbookViewId="0" topLeftCell="A83">
      <selection activeCell="C102" sqref="C102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244</v>
      </c>
    </row>
    <row r="6" spans="3:6" ht="12.75">
      <c r="C6" t="s">
        <v>232</v>
      </c>
      <c r="D6" t="s">
        <v>231</v>
      </c>
      <c r="F6">
        <v>50</v>
      </c>
    </row>
    <row r="7" spans="3:6" ht="12.75">
      <c r="C7" t="s">
        <v>231</v>
      </c>
      <c r="D7" t="s">
        <v>233</v>
      </c>
      <c r="F7">
        <v>177</v>
      </c>
    </row>
    <row r="8" spans="3:9" ht="12.75">
      <c r="C8" t="s">
        <v>233</v>
      </c>
      <c r="D8" t="s">
        <v>234</v>
      </c>
      <c r="F8">
        <v>390</v>
      </c>
      <c r="H8">
        <v>2</v>
      </c>
      <c r="I8" s="13">
        <f>SUM(F6:F8)/Summary!C32</f>
        <v>9.585094999999999</v>
      </c>
    </row>
    <row r="10" spans="3:9" ht="12.75">
      <c r="C10" t="s">
        <v>234</v>
      </c>
      <c r="D10" t="s">
        <v>235</v>
      </c>
      <c r="F10">
        <v>115</v>
      </c>
      <c r="H10">
        <v>4</v>
      </c>
      <c r="I10" s="13">
        <f>F10/Summary!C33</f>
        <v>2.3820333333333332</v>
      </c>
    </row>
    <row r="12" spans="3:6" ht="12.75">
      <c r="C12" t="s">
        <v>235</v>
      </c>
      <c r="D12" t="s">
        <v>242</v>
      </c>
      <c r="F12">
        <v>258</v>
      </c>
    </row>
    <row r="13" spans="3:6" ht="12.75">
      <c r="C13" t="s">
        <v>242</v>
      </c>
      <c r="D13" t="s">
        <v>243</v>
      </c>
      <c r="F13">
        <f>265+92</f>
        <v>357</v>
      </c>
    </row>
    <row r="14" spans="3:9" ht="12.75">
      <c r="C14" t="s">
        <v>243</v>
      </c>
      <c r="D14" t="s">
        <v>239</v>
      </c>
      <c r="F14">
        <v>222</v>
      </c>
      <c r="H14">
        <v>8</v>
      </c>
      <c r="I14" s="13">
        <f>SUM(F12:F14)/Summary!C33</f>
        <v>17.33706</v>
      </c>
    </row>
    <row r="16" spans="3:6" ht="12.75">
      <c r="C16" t="s">
        <v>239</v>
      </c>
      <c r="D16" t="s">
        <v>313</v>
      </c>
      <c r="F16">
        <v>100</v>
      </c>
    </row>
    <row r="17" spans="3:6" ht="12.75">
      <c r="C17" t="s">
        <v>313</v>
      </c>
      <c r="D17" t="s">
        <v>314</v>
      </c>
      <c r="F17">
        <v>150</v>
      </c>
    </row>
    <row r="18" spans="3:6" ht="12.75">
      <c r="C18" t="s">
        <v>314</v>
      </c>
      <c r="D18" t="s">
        <v>315</v>
      </c>
      <c r="F18">
        <f>278+208</f>
        <v>486</v>
      </c>
    </row>
    <row r="19" spans="3:9" ht="12.75">
      <c r="C19" t="s">
        <v>315</v>
      </c>
      <c r="D19" t="s">
        <v>316</v>
      </c>
      <c r="F19">
        <f>48+20</f>
        <v>68</v>
      </c>
      <c r="H19">
        <v>3</v>
      </c>
      <c r="I19" s="13">
        <f>SUM(F16:F19)/Summary!C32</f>
        <v>12.49014</v>
      </c>
    </row>
    <row r="21" spans="6:8" ht="12.75">
      <c r="F21" s="5">
        <f>SUM(F6:F20)</f>
        <v>2373</v>
      </c>
      <c r="H21" s="5">
        <f>SUM(H6:H20)</f>
        <v>17</v>
      </c>
    </row>
    <row r="24" ht="12.75">
      <c r="A24" s="4" t="s">
        <v>277</v>
      </c>
    </row>
    <row r="25" spans="1:6" ht="12.75">
      <c r="A25" s="4"/>
      <c r="C25" t="s">
        <v>316</v>
      </c>
      <c r="D25" t="s">
        <v>315</v>
      </c>
      <c r="F25">
        <f>F19</f>
        <v>68</v>
      </c>
    </row>
    <row r="26" spans="1:6" ht="12.75">
      <c r="A26" s="4"/>
      <c r="C26" t="s">
        <v>315</v>
      </c>
      <c r="D26" t="s">
        <v>314</v>
      </c>
      <c r="F26">
        <f>F18</f>
        <v>486</v>
      </c>
    </row>
    <row r="27" spans="1:6" ht="12.75">
      <c r="A27" s="4"/>
      <c r="C27" t="s">
        <v>314</v>
      </c>
      <c r="D27" t="s">
        <v>313</v>
      </c>
      <c r="F27">
        <f>F17</f>
        <v>150</v>
      </c>
    </row>
    <row r="28" spans="1:9" ht="12.75">
      <c r="A28" s="4"/>
      <c r="C28" t="s">
        <v>313</v>
      </c>
      <c r="D28" t="s">
        <v>239</v>
      </c>
      <c r="F28">
        <f>F16</f>
        <v>100</v>
      </c>
      <c r="H28">
        <v>4</v>
      </c>
      <c r="I28" s="13">
        <f>I19</f>
        <v>12.49014</v>
      </c>
    </row>
    <row r="29" ht="12.75">
      <c r="A29" s="4"/>
    </row>
    <row r="30" ht="12.75">
      <c r="A30" s="4"/>
    </row>
    <row r="31" spans="3:9" ht="12.75">
      <c r="C31" t="s">
        <v>239</v>
      </c>
      <c r="D31" t="s">
        <v>238</v>
      </c>
      <c r="F31">
        <v>121</v>
      </c>
      <c r="H31">
        <v>3</v>
      </c>
      <c r="I31" s="13">
        <f>F31/Summary!C33</f>
        <v>2.5063133333333334</v>
      </c>
    </row>
    <row r="33" spans="3:6" ht="12.75">
      <c r="C33" t="s">
        <v>238</v>
      </c>
      <c r="D33" t="s">
        <v>237</v>
      </c>
      <c r="F33">
        <f>101+80</f>
        <v>181</v>
      </c>
    </row>
    <row r="34" spans="3:6" ht="12.75">
      <c r="C34" t="s">
        <v>237</v>
      </c>
      <c r="D34" t="s">
        <v>236</v>
      </c>
      <c r="F34">
        <f>109+174+370</f>
        <v>653</v>
      </c>
    </row>
    <row r="35" spans="3:9" ht="12.75">
      <c r="C35" t="s">
        <v>236</v>
      </c>
      <c r="D35" t="s">
        <v>245</v>
      </c>
      <c r="E35" t="s">
        <v>246</v>
      </c>
      <c r="H35">
        <v>7</v>
      </c>
      <c r="I35" s="13">
        <f>SUM(F33:F34)/Summary!C34</f>
        <v>8.637459999999999</v>
      </c>
    </row>
    <row r="37" spans="3:8" ht="12.75">
      <c r="C37" t="s">
        <v>245</v>
      </c>
      <c r="D37" t="s">
        <v>236</v>
      </c>
      <c r="H37">
        <v>1</v>
      </c>
    </row>
    <row r="38" spans="3:8" ht="12.75">
      <c r="C38" t="s">
        <v>236</v>
      </c>
      <c r="D38" t="s">
        <v>237</v>
      </c>
      <c r="F38">
        <f>F34</f>
        <v>653</v>
      </c>
      <c r="H38">
        <v>2</v>
      </c>
    </row>
    <row r="39" spans="3:8" ht="12.75">
      <c r="C39" t="s">
        <v>237</v>
      </c>
      <c r="D39" t="s">
        <v>247</v>
      </c>
      <c r="F39">
        <v>108</v>
      </c>
      <c r="H39">
        <v>1</v>
      </c>
    </row>
    <row r="41" spans="6:8" ht="12.75">
      <c r="F41" s="5">
        <f>SUM(F25:F40)</f>
        <v>2520</v>
      </c>
      <c r="H41" s="5">
        <f>SUM(H25:H40)</f>
        <v>18</v>
      </c>
    </row>
  </sheetData>
  <printOptions/>
  <pageMargins left="1" right="1" top="1.25" bottom="1" header="0.5" footer="0.5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"/>
  <sheetViews>
    <sheetView workbookViewId="0" topLeftCell="B31">
      <selection activeCell="C52" sqref="C52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284</v>
      </c>
    </row>
    <row r="7" spans="3:9" ht="12.75">
      <c r="C7" t="s">
        <v>316</v>
      </c>
      <c r="D7" t="s">
        <v>317</v>
      </c>
      <c r="F7">
        <f>121</f>
        <v>121</v>
      </c>
      <c r="I7" s="13">
        <f>F7/Summary!C32</f>
        <v>1.879735</v>
      </c>
    </row>
    <row r="8" spans="3:9" ht="12.75">
      <c r="C8" t="s">
        <v>317</v>
      </c>
      <c r="D8" t="s">
        <v>322</v>
      </c>
      <c r="F8">
        <v>137</v>
      </c>
      <c r="H8">
        <v>5</v>
      </c>
      <c r="I8" s="13">
        <f>F8/Summary!C34</f>
        <v>1.4188633333333334</v>
      </c>
    </row>
    <row r="10" spans="3:9" ht="12.75">
      <c r="C10" t="s">
        <v>322</v>
      </c>
      <c r="D10" t="s">
        <v>319</v>
      </c>
      <c r="F10">
        <v>422</v>
      </c>
      <c r="I10" s="13">
        <f>F10/Summary!C34</f>
        <v>4.370513333333333</v>
      </c>
    </row>
    <row r="11" spans="3:9" ht="12.75">
      <c r="C11" t="s">
        <v>319</v>
      </c>
      <c r="D11" t="s">
        <v>320</v>
      </c>
      <c r="F11">
        <v>60</v>
      </c>
      <c r="H11">
        <v>3</v>
      </c>
      <c r="I11" s="13">
        <f>F11/Summary!C33</f>
        <v>1.2428</v>
      </c>
    </row>
    <row r="13" spans="3:9" ht="12.75">
      <c r="C13" t="s">
        <v>320</v>
      </c>
      <c r="D13" t="s">
        <v>321</v>
      </c>
      <c r="F13">
        <v>240</v>
      </c>
      <c r="H13">
        <v>3</v>
      </c>
      <c r="I13" s="13">
        <f>F13/Summary!C33</f>
        <v>4.9712</v>
      </c>
    </row>
    <row r="15" spans="3:9" ht="12.75">
      <c r="C15" t="s">
        <v>321</v>
      </c>
      <c r="D15" t="s">
        <v>318</v>
      </c>
      <c r="F15">
        <v>200</v>
      </c>
      <c r="I15" s="13">
        <f>F15/Summary!C33</f>
        <v>4.142666666666667</v>
      </c>
    </row>
    <row r="16" spans="3:9" ht="12.75">
      <c r="C16" t="s">
        <v>318</v>
      </c>
      <c r="D16" t="s">
        <v>317</v>
      </c>
      <c r="F16">
        <f>68+77</f>
        <v>145</v>
      </c>
      <c r="I16" s="13">
        <f>F16/Summary!C32</f>
        <v>2.2525749999999998</v>
      </c>
    </row>
    <row r="17" spans="3:9" ht="12.75">
      <c r="C17" t="s">
        <v>317</v>
      </c>
      <c r="D17" t="s">
        <v>316</v>
      </c>
      <c r="F17">
        <v>121</v>
      </c>
      <c r="H17">
        <v>3</v>
      </c>
      <c r="I17" s="13">
        <f>I7</f>
        <v>1.879735</v>
      </c>
    </row>
    <row r="20" spans="6:8" ht="12.75">
      <c r="F20" s="5">
        <f>SUM(F7:F19)</f>
        <v>1446</v>
      </c>
      <c r="H20" s="5">
        <f>SUM(H7:H19)</f>
        <v>14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6"/>
  <sheetViews>
    <sheetView workbookViewId="0" topLeftCell="A31">
      <selection activeCell="C55" sqref="C55"/>
    </sheetView>
  </sheetViews>
  <sheetFormatPr defaultColWidth="9.140625" defaultRowHeight="12.75"/>
  <cols>
    <col min="3" max="4" width="21.421875" style="0" bestFit="1" customWidth="1"/>
    <col min="7" max="7" width="4.28125" style="0" customWidth="1"/>
    <col min="9" max="9" width="9.28125" style="13" bestFit="1" customWidth="1"/>
  </cols>
  <sheetData>
    <row r="3" spans="3:10" ht="44.25" customHeight="1">
      <c r="C3" t="s">
        <v>28</v>
      </c>
      <c r="D3" t="s">
        <v>29</v>
      </c>
      <c r="E3" t="s">
        <v>30</v>
      </c>
      <c r="F3" t="s">
        <v>31</v>
      </c>
      <c r="H3" t="s">
        <v>70</v>
      </c>
      <c r="I3" s="12" t="s">
        <v>159</v>
      </c>
      <c r="J3" t="s">
        <v>122</v>
      </c>
    </row>
    <row r="5" ht="12.75">
      <c r="A5" s="4" t="s">
        <v>283</v>
      </c>
    </row>
    <row r="6" spans="3:9" ht="12.75">
      <c r="C6" t="s">
        <v>247</v>
      </c>
      <c r="D6" t="s">
        <v>324</v>
      </c>
      <c r="F6">
        <f>87+78+20</f>
        <v>185</v>
      </c>
      <c r="H6">
        <v>3</v>
      </c>
      <c r="I6" s="13">
        <f>F6/Summary!C34</f>
        <v>1.9159833333333331</v>
      </c>
    </row>
    <row r="8" spans="3:9" ht="12.75">
      <c r="C8" t="s">
        <v>324</v>
      </c>
      <c r="D8" t="s">
        <v>325</v>
      </c>
      <c r="F8">
        <v>156</v>
      </c>
      <c r="H8">
        <v>4</v>
      </c>
      <c r="I8" s="13">
        <f>F8/Summary!C32</f>
        <v>2.42346</v>
      </c>
    </row>
    <row r="10" spans="3:9" ht="12.75">
      <c r="C10" t="s">
        <v>325</v>
      </c>
      <c r="D10" t="s">
        <v>326</v>
      </c>
      <c r="F10">
        <f>156+150+89+34+38</f>
        <v>467</v>
      </c>
      <c r="H10">
        <v>4</v>
      </c>
      <c r="I10" s="13">
        <f>F10/Summary!C32</f>
        <v>7.2548449999999995</v>
      </c>
    </row>
    <row r="12" spans="3:9" ht="12.75">
      <c r="C12" t="s">
        <v>326</v>
      </c>
      <c r="D12" t="s">
        <v>327</v>
      </c>
      <c r="F12">
        <v>260</v>
      </c>
      <c r="H12">
        <v>4</v>
      </c>
      <c r="I12" s="13">
        <f>F12/Summary!C33</f>
        <v>5.385466666666667</v>
      </c>
    </row>
    <row r="14" spans="3:9" ht="12.75">
      <c r="C14" t="s">
        <v>327</v>
      </c>
      <c r="D14" t="s">
        <v>328</v>
      </c>
      <c r="F14">
        <v>250</v>
      </c>
      <c r="H14">
        <v>1</v>
      </c>
      <c r="I14" s="13">
        <f>F14/Summary!C33</f>
        <v>5.178333333333333</v>
      </c>
    </row>
    <row r="16" spans="6:8" ht="12.75">
      <c r="F16" s="5">
        <f>SUM(F6:F15)</f>
        <v>1318</v>
      </c>
      <c r="H16" s="5">
        <f>SUM(H6:H15)</f>
        <v>16</v>
      </c>
    </row>
  </sheetData>
  <printOptions/>
  <pageMargins left="1" right="1" top="1.25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 Matthews</cp:lastModifiedBy>
  <cp:lastPrinted>2005-06-22T12:34:44Z</cp:lastPrinted>
  <dcterms:created xsi:type="dcterms:W3CDTF">2005-06-22T20:59:51Z</dcterms:created>
  <dcterms:modified xsi:type="dcterms:W3CDTF">2005-06-22T21:00:04Z</dcterms:modified>
  <cp:category/>
  <cp:version/>
  <cp:contentType/>
  <cp:contentStatus/>
</cp:coreProperties>
</file>